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228" activeTab="0"/>
  </bookViews>
  <sheets>
    <sheet name="Vauling Corn Silage" sheetId="1" r:id="rId1"/>
    <sheet name="Grain Yield Estimator" sheetId="2" r:id="rId2"/>
    <sheet name="Trench Silo Tonnage Estimator" sheetId="3" r:id="rId3"/>
    <sheet name="Corn Stalks" sheetId="4" r:id="rId4"/>
    <sheet name="Sorghum Silage" sheetId="5" r:id="rId5"/>
    <sheet name="Wheat and Other Forages Silage" sheetId="6" r:id="rId6"/>
  </sheets>
  <definedNames>
    <definedName name="_xlnm.Print_Area" localSheetId="3">'Corn Stalks'!$A$1:$I$55</definedName>
    <definedName name="_xlnm.Print_Area" localSheetId="1">'Grain Yield Estimator'!$A$1:$D$41</definedName>
    <definedName name="_xlnm.Print_Area" localSheetId="0">'Vauling Corn Silage'!$A$1:$F$71</definedName>
    <definedName name="_xlnm.Print_Area" localSheetId="5">'Wheat and Other Forages Silage'!$A$1:$F$48</definedName>
  </definedNames>
  <calcPr fullCalcOnLoad="1"/>
</workbook>
</file>

<file path=xl/comments1.xml><?xml version="1.0" encoding="utf-8"?>
<comments xmlns="http://schemas.openxmlformats.org/spreadsheetml/2006/main">
  <authors>
    <author>Michael Vogt</author>
  </authors>
  <commentList>
    <comment ref="F13" authorId="0">
      <text>
        <r>
          <rPr>
            <b/>
            <sz val="8"/>
            <rFont val="Tahoma"/>
            <family val="2"/>
          </rPr>
          <t>If you need to estimate corn yield, follow the procedure outlined in the Grain Yield Estimator on the next worksheet.  Just click the tab at the bottom.</t>
        </r>
        <r>
          <rPr>
            <sz val="8"/>
            <rFont val="Tahoma"/>
            <family val="2"/>
          </rPr>
          <t xml:space="preserve">
</t>
        </r>
      </text>
    </comment>
    <comment ref="F15" authorId="0">
      <text>
        <r>
          <rPr>
            <b/>
            <sz val="8"/>
            <rFont val="Tahoma"/>
            <family val="2"/>
          </rPr>
          <t>For yield over 100 bu/Acre, you will want to increase the rate by $.10 to $.12/bushel.</t>
        </r>
        <r>
          <rPr>
            <sz val="8"/>
            <rFont val="Tahoma"/>
            <family val="2"/>
          </rPr>
          <t xml:space="preserve">
</t>
        </r>
      </text>
    </comment>
    <comment ref="A17" authorId="0">
      <text>
        <r>
          <rPr>
            <sz val="8"/>
            <rFont val="Tahoma"/>
            <family val="2"/>
          </rPr>
          <t xml:space="preserve">I used the rule of for every 5 bushels of corn grain will yield one ton of corn silage except if the yield is below 5 bushels then used 1 ton.
</t>
        </r>
      </text>
    </comment>
    <comment ref="F17" authorId="0">
      <text>
        <r>
          <rPr>
            <b/>
            <sz val="8"/>
            <rFont val="Tahoma"/>
            <family val="2"/>
          </rPr>
          <t xml:space="preserve">You can write over the formula if the cooperator knows his tonnage.  If not, letting the spreadsheet calculate based off of an estimated yield is a good start.
Based on the yield inputed the spreadsheet will use 5 bu./ton for yields under 50 bu./A and  for yields over 50 bu./A various bu./A figures will be used based on Iowa State University research.
</t>
        </r>
      </text>
    </comment>
    <comment ref="F18" authorId="0">
      <text>
        <r>
          <rPr>
            <b/>
            <sz val="8"/>
            <rFont val="Tahoma"/>
            <family val="2"/>
          </rPr>
          <t>To arrive at this number start with the large round bale brome hay price or use other grass hays such as fescues.  This will approximate the value of the corn stalks and leaves.</t>
        </r>
        <r>
          <rPr>
            <sz val="8"/>
            <rFont val="Tahoma"/>
            <family val="2"/>
          </rPr>
          <t xml:space="preserve">
</t>
        </r>
      </text>
    </comment>
    <comment ref="F19" authorId="0">
      <text>
        <r>
          <rPr>
            <b/>
            <sz val="8"/>
            <rFont val="Tahoma"/>
            <family val="2"/>
          </rPr>
          <t>To arrive at the net value of forage, we subtract a custom rate for haying.  This information can come from the latest Custom Rate Values or use your own costs.</t>
        </r>
        <r>
          <rPr>
            <sz val="8"/>
            <rFont val="Tahoma"/>
            <family val="2"/>
          </rPr>
          <t xml:space="preserve">
</t>
        </r>
      </text>
    </comment>
    <comment ref="F22" authorId="0">
      <text>
        <r>
          <rPr>
            <b/>
            <sz val="8"/>
            <rFont val="Tahoma"/>
            <family val="2"/>
          </rPr>
          <t>Type the percentage as a decimal and Excel will convert the number to a percentage.</t>
        </r>
        <r>
          <rPr>
            <sz val="8"/>
            <rFont val="Tahoma"/>
            <family val="2"/>
          </rPr>
          <t xml:space="preserve">
</t>
        </r>
      </text>
    </comment>
    <comment ref="F23" authorId="0">
      <text>
        <r>
          <rPr>
            <b/>
            <sz val="8"/>
            <rFont val="Tahoma"/>
            <family val="2"/>
          </rPr>
          <t>Type the percentage as a decimal and Excel will convert the number to a percentage.</t>
        </r>
        <r>
          <rPr>
            <b/>
            <sz val="8"/>
            <rFont val="Tahoma"/>
            <family val="2"/>
          </rPr>
          <t xml:space="preserve">
</t>
        </r>
        <r>
          <rPr>
            <sz val="8"/>
            <rFont val="Tahoma"/>
            <family val="2"/>
          </rPr>
          <t xml:space="preserve">
</t>
        </r>
      </text>
    </comment>
    <comment ref="A24" authorId="0">
      <text>
        <r>
          <rPr>
            <sz val="8"/>
            <rFont val="Tahoma"/>
            <family val="2"/>
          </rPr>
          <t xml:space="preserve">You can insert the total acres considered and this will give you total results.
</t>
        </r>
      </text>
    </comment>
    <comment ref="F24" authorId="0">
      <text>
        <r>
          <rPr>
            <b/>
            <sz val="8"/>
            <rFont val="Tahoma"/>
            <family val="2"/>
          </rPr>
          <t>You can do this for one acre or to get a total for more acres, just type the acres you want calculated.</t>
        </r>
        <r>
          <rPr>
            <sz val="8"/>
            <rFont val="Tahoma"/>
            <family val="2"/>
          </rPr>
          <t xml:space="preserve">
</t>
        </r>
      </text>
    </comment>
    <comment ref="F37" authorId="0">
      <text>
        <r>
          <rPr>
            <b/>
            <sz val="8"/>
            <rFont val="Tahoma"/>
            <family val="2"/>
          </rPr>
          <t>For yields under 20 bu./acre, the value is reduced by 15%.  Research has shown corn that yields under 20 bu./acre has 85% of the feed value as normal corn silage.</t>
        </r>
        <r>
          <rPr>
            <sz val="8"/>
            <rFont val="Tahoma"/>
            <family val="2"/>
          </rPr>
          <t xml:space="preserve">
</t>
        </r>
      </text>
    </comment>
  </commentList>
</comments>
</file>

<file path=xl/comments3.xml><?xml version="1.0" encoding="utf-8"?>
<comments xmlns="http://schemas.openxmlformats.org/spreadsheetml/2006/main">
  <authors>
    <author>Mike</author>
  </authors>
  <commentList>
    <comment ref="D15" authorId="0">
      <text>
        <r>
          <rPr>
            <b/>
            <sz val="9"/>
            <rFont val="Tahoma"/>
            <family val="2"/>
          </rPr>
          <t>Enter as a whole number.  Default is 65% moisture.  Most silage will be between 60% and 70% moisture.</t>
        </r>
        <r>
          <rPr>
            <sz val="9"/>
            <rFont val="Tahoma"/>
            <family val="2"/>
          </rPr>
          <t xml:space="preserve">
</t>
        </r>
      </text>
    </comment>
    <comment ref="D20" authorId="0">
      <text>
        <r>
          <rPr>
            <b/>
            <sz val="9"/>
            <rFont val="Tahoma"/>
            <family val="2"/>
          </rPr>
          <t>Cubic feet is calculated as Length times Width times Height</t>
        </r>
        <r>
          <rPr>
            <sz val="9"/>
            <rFont val="Tahoma"/>
            <family val="2"/>
          </rPr>
          <t xml:space="preserve">
</t>
        </r>
      </text>
    </comment>
    <comment ref="D16" authorId="0">
      <text>
        <r>
          <rPr>
            <b/>
            <sz val="9"/>
            <rFont val="Tahoma"/>
            <family val="2"/>
          </rPr>
          <t>Mike:</t>
        </r>
        <r>
          <rPr>
            <sz val="9"/>
            <rFont val="Tahoma"/>
            <family val="2"/>
          </rPr>
          <t xml:space="preserve">
14#/cu ft is assumed for well packed silage.  It is recommended not to change this number.</t>
        </r>
      </text>
    </comment>
    <comment ref="D21" authorId="0">
      <text>
        <r>
          <rPr>
            <b/>
            <sz val="9"/>
            <rFont val="Tahoma"/>
            <family val="2"/>
          </rPr>
          <t>The pounds dry matter per cubic is at 0% moisture and is converted to dry matter under the silages moisture content.  It become "wet."  For example, At 65% moisture (35% dry matter)  the pounds per cubic foot would be 40 pounds per cubic foot (14 divided by 35%).</t>
        </r>
        <r>
          <rPr>
            <sz val="9"/>
            <rFont val="Tahoma"/>
            <family val="2"/>
          </rPr>
          <t xml:space="preserve">
</t>
        </r>
      </text>
    </comment>
  </commentList>
</comments>
</file>

<file path=xl/comments4.xml><?xml version="1.0" encoding="utf-8"?>
<comments xmlns="http://schemas.openxmlformats.org/spreadsheetml/2006/main">
  <authors>
    <author>mvogt</author>
    <author>tekkie</author>
  </authors>
  <commentList>
    <comment ref="A17" authorId="0">
      <text>
        <r>
          <rPr>
            <b/>
            <sz val="8"/>
            <rFont val="Tahoma"/>
            <family val="2"/>
          </rPr>
          <t>In 30-100 days 25-30% of the residue is removed.</t>
        </r>
        <r>
          <rPr>
            <sz val="8"/>
            <rFont val="Tahoma"/>
            <family val="2"/>
          </rPr>
          <t xml:space="preserve">
</t>
        </r>
      </text>
    </comment>
    <comment ref="G43" authorId="1">
      <text>
        <r>
          <rPr>
            <b/>
            <sz val="8"/>
            <rFont val="Tahoma"/>
            <family val="2"/>
          </rPr>
          <t>Calculates how many acres required per cow in a low yield/low forage scenario.</t>
        </r>
        <r>
          <rPr>
            <sz val="8"/>
            <rFont val="Tahoma"/>
            <family val="2"/>
          </rPr>
          <t xml:space="preserve">
</t>
        </r>
      </text>
    </comment>
  </commentList>
</comments>
</file>

<file path=xl/comments5.xml><?xml version="1.0" encoding="utf-8"?>
<comments xmlns="http://schemas.openxmlformats.org/spreadsheetml/2006/main">
  <authors>
    <author>Michael Vogt</author>
  </authors>
  <commentList>
    <comment ref="F13" authorId="0">
      <text>
        <r>
          <rPr>
            <b/>
            <sz val="8"/>
            <rFont val="Tahoma"/>
            <family val="2"/>
          </rPr>
          <t>If you need to estimate sorghum sudan yield per acre as dry matter, take pounds of silage times 5-10% divided 56 #/bu</t>
        </r>
        <r>
          <rPr>
            <sz val="8"/>
            <rFont val="Tahoma"/>
            <family val="2"/>
          </rPr>
          <t xml:space="preserve">
</t>
        </r>
      </text>
    </comment>
    <comment ref="F15" authorId="0">
      <text>
        <r>
          <rPr>
            <b/>
            <sz val="8"/>
            <rFont val="Tahoma"/>
            <family val="2"/>
          </rPr>
          <t>For yield over 100 bu/Acre, you will want to increase the rate by $.10 to $.12/bushel.</t>
        </r>
        <r>
          <rPr>
            <sz val="8"/>
            <rFont val="Tahoma"/>
            <family val="2"/>
          </rPr>
          <t xml:space="preserve">
</t>
        </r>
      </text>
    </comment>
    <comment ref="F17" authorId="0">
      <text>
        <r>
          <rPr>
            <b/>
            <sz val="8"/>
            <rFont val="Tahoma"/>
            <family val="2"/>
          </rPr>
          <t xml:space="preserve">You can write over the formula if the cooperator knows his tonnage. </t>
        </r>
      </text>
    </comment>
    <comment ref="F19" authorId="0">
      <text>
        <r>
          <rPr>
            <b/>
            <sz val="8"/>
            <rFont val="Tahoma"/>
            <family val="2"/>
          </rPr>
          <t>To arrive at this number start with the large bale brome hay price and substract the cost of the total haying operation.  I used $36 per ton.</t>
        </r>
        <r>
          <rPr>
            <sz val="8"/>
            <rFont val="Tahoma"/>
            <family val="2"/>
          </rPr>
          <t xml:space="preserve">
</t>
        </r>
      </text>
    </comment>
    <comment ref="F22" authorId="0">
      <text>
        <r>
          <rPr>
            <b/>
            <sz val="8"/>
            <rFont val="Tahoma"/>
            <family val="2"/>
          </rPr>
          <t>Type the percentage as a decimal and Excel will convert the number to a percentage.</t>
        </r>
        <r>
          <rPr>
            <sz val="8"/>
            <rFont val="Tahoma"/>
            <family val="2"/>
          </rPr>
          <t xml:space="preserve">
</t>
        </r>
      </text>
    </comment>
    <comment ref="F23" authorId="0">
      <text>
        <r>
          <rPr>
            <b/>
            <sz val="8"/>
            <rFont val="Tahoma"/>
            <family val="2"/>
          </rPr>
          <t>Type the percentage as a decimal and Excel will convert the number to a percentage.</t>
        </r>
        <r>
          <rPr>
            <b/>
            <sz val="8"/>
            <rFont val="Tahoma"/>
            <family val="2"/>
          </rPr>
          <t xml:space="preserve">
</t>
        </r>
        <r>
          <rPr>
            <sz val="8"/>
            <rFont val="Tahoma"/>
            <family val="2"/>
          </rPr>
          <t xml:space="preserve">
</t>
        </r>
      </text>
    </comment>
    <comment ref="A24" authorId="0">
      <text>
        <r>
          <rPr>
            <sz val="8"/>
            <rFont val="Tahoma"/>
            <family val="2"/>
          </rPr>
          <t xml:space="preserve">You can insert the total acres considered and this will give you total results.
</t>
        </r>
      </text>
    </comment>
    <comment ref="F24" authorId="0">
      <text>
        <r>
          <rPr>
            <b/>
            <sz val="8"/>
            <rFont val="Tahoma"/>
            <family val="2"/>
          </rPr>
          <t>You can do this for one acre or to get a total for more acres, just type the acres you want calculated.</t>
        </r>
        <r>
          <rPr>
            <sz val="8"/>
            <rFont val="Tahoma"/>
            <family val="2"/>
          </rPr>
          <t xml:space="preserve">
</t>
        </r>
      </text>
    </comment>
  </commentList>
</comments>
</file>

<file path=xl/comments6.xml><?xml version="1.0" encoding="utf-8"?>
<comments xmlns="http://schemas.openxmlformats.org/spreadsheetml/2006/main">
  <authors>
    <author>Michael Vogt</author>
    <author>Mike</author>
  </authors>
  <commentList>
    <comment ref="F11" authorId="0">
      <text>
        <r>
          <rPr>
            <b/>
            <sz val="8"/>
            <rFont val="Tahoma"/>
            <family val="2"/>
          </rPr>
          <t>To arrive at this number start with the large bale brome hay wheat hay, alfalfa hay, or other hay price and substract the cost of the total haying operation.  I used $34 per ton.</t>
        </r>
        <r>
          <rPr>
            <sz val="8"/>
            <rFont val="Tahoma"/>
            <family val="2"/>
          </rPr>
          <t xml:space="preserve">
</t>
        </r>
      </text>
    </comment>
    <comment ref="F17" authorId="0">
      <text>
        <r>
          <rPr>
            <sz val="8"/>
            <rFont val="Tahoma"/>
            <family val="2"/>
          </rPr>
          <t xml:space="preserve">Type the percentage as a decimal and Excel will convert the number to a percentage.
</t>
        </r>
      </text>
    </comment>
    <comment ref="F18" authorId="0">
      <text>
        <r>
          <rPr>
            <sz val="8"/>
            <rFont val="Tahoma"/>
            <family val="2"/>
          </rPr>
          <t>Type the percentage as a decimal and Excel will convert the number to a percentage.</t>
        </r>
        <r>
          <rPr>
            <b/>
            <sz val="8"/>
            <rFont val="Tahoma"/>
            <family val="2"/>
          </rPr>
          <t xml:space="preserve">
</t>
        </r>
        <r>
          <rPr>
            <sz val="8"/>
            <rFont val="Tahoma"/>
            <family val="2"/>
          </rPr>
          <t xml:space="preserve">
</t>
        </r>
      </text>
    </comment>
    <comment ref="A19" authorId="0">
      <text>
        <r>
          <rPr>
            <sz val="8"/>
            <rFont val="Tahoma"/>
            <family val="2"/>
          </rPr>
          <t xml:space="preserve">You can insert the total acres considered and this will give you total results.
</t>
        </r>
      </text>
    </comment>
    <comment ref="F19" authorId="0">
      <text>
        <r>
          <rPr>
            <sz val="8"/>
            <rFont val="Tahoma"/>
            <family val="2"/>
          </rPr>
          <t xml:space="preserve">You can do this for one acre or to get a total for more acres, just type the acres you want calculated.
</t>
        </r>
      </text>
    </comment>
    <comment ref="F21" authorId="1">
      <text>
        <r>
          <rPr>
            <b/>
            <sz val="9"/>
            <rFont val="Tahoma"/>
            <family val="2"/>
          </rPr>
          <t>You can use 1 ton to arrive at the per ton value or insert the estimated tonnage to arrive at a total value of the silage.</t>
        </r>
        <r>
          <rPr>
            <sz val="9"/>
            <rFont val="Tahoma"/>
            <family val="2"/>
          </rPr>
          <t xml:space="preserve">
</t>
        </r>
      </text>
    </comment>
    <comment ref="F36" authorId="1">
      <text>
        <r>
          <rPr>
            <b/>
            <sz val="9"/>
            <rFont val="Tahoma"/>
            <family val="2"/>
          </rPr>
          <t>Lines 10 and 11 are used to calculate total values based on a quantity specified in Line 1.</t>
        </r>
        <r>
          <rPr>
            <sz val="9"/>
            <rFont val="Tahoma"/>
            <family val="2"/>
          </rPr>
          <t xml:space="preserve">
</t>
        </r>
      </text>
    </comment>
  </commentList>
</comments>
</file>

<file path=xl/sharedStrings.xml><?xml version="1.0" encoding="utf-8"?>
<sst xmlns="http://schemas.openxmlformats.org/spreadsheetml/2006/main" count="307" uniqueCount="221">
  <si>
    <t>Inputs</t>
  </si>
  <si>
    <t>Outputs</t>
  </si>
  <si>
    <t>1.  Value of Corn as Grain per Acre</t>
  </si>
  <si>
    <t>Results</t>
  </si>
  <si>
    <t>Acres</t>
  </si>
  <si>
    <t>5.  Estimated Silage Yield per Acre (tons)</t>
  </si>
  <si>
    <t>Silage Dry Matter (DM) percentage</t>
  </si>
  <si>
    <t xml:space="preserve">6.  Total tons of 100% dry matter (DM) </t>
  </si>
  <si>
    <t>7.  Pounds of 90% air dry feed (pounds)</t>
  </si>
  <si>
    <t>8.  Weight of ear corn 90% air dry (pounds)</t>
  </si>
  <si>
    <t>9.  Net weight of stover (90% air dry)</t>
  </si>
  <si>
    <t>10.  Value of Stover ($/Acre)</t>
  </si>
  <si>
    <t>Silage Harvest Cost per ton</t>
  </si>
  <si>
    <t>Silage Hauling and Packing Cost per ton</t>
  </si>
  <si>
    <t>Estimated grain yield per acre</t>
  </si>
  <si>
    <t>Current Price of corn per bushel</t>
  </si>
  <si>
    <t>Cost of Harvesting Corn to Market per Bushel</t>
  </si>
  <si>
    <t>Cost of Hauling Corn to Market</t>
  </si>
  <si>
    <t>Estimated Silage Yield per acre</t>
  </si>
  <si>
    <t xml:space="preserve">13.  Less Silage Chopping Cost per Acre (L5 times Cost) </t>
  </si>
  <si>
    <t>14.  Less Silage Hauling and Packing Cost per acre (L5 times Cost)</t>
  </si>
  <si>
    <t>15.  Less Storage Loss per ton</t>
  </si>
  <si>
    <t>Storage Loss Percentage (usually between 10% to 30%)</t>
  </si>
  <si>
    <t>Input Figures</t>
  </si>
  <si>
    <t>Summary</t>
  </si>
  <si>
    <t>Notes:</t>
  </si>
  <si>
    <t>Figures that are shaded gray may not be changed.</t>
  </si>
  <si>
    <t xml:space="preserve">4.  Net Value of grain in field (line 1 minus lines 2&amp;3) </t>
  </si>
  <si>
    <t>Based on a worksheet by Myron Bennet, retired University of Missouri Ext. Ag Economist</t>
  </si>
  <si>
    <t>The figures in the input table that are shaded blue may be changed.</t>
  </si>
  <si>
    <t xml:space="preserve">and on a Michigan State University Paper, "Pricing and Use of Drought Stressed </t>
  </si>
  <si>
    <t>and Immature Corn as Silage for Beef Cattle."</t>
  </si>
  <si>
    <t>Corn Yield Calculation</t>
  </si>
  <si>
    <t>Ears removed from the</t>
  </si>
  <si>
    <t>counted area</t>
  </si>
  <si>
    <t>Approximate number</t>
  </si>
  <si>
    <t>of kernels per row</t>
  </si>
  <si>
    <t>Kernels per ear</t>
  </si>
  <si>
    <t>Ear 1</t>
  </si>
  <si>
    <t>Ear 2</t>
  </si>
  <si>
    <t>Ear 3</t>
  </si>
  <si>
    <t>Yields may be adjusted down by 10% if kernel weights are expected to be low as a result</t>
  </si>
  <si>
    <t>of stress.</t>
  </si>
  <si>
    <t>This method has typically been about 10% higher than actual yields, especially at higher</t>
  </si>
  <si>
    <t>yields.</t>
  </si>
  <si>
    <t>(multiply column 2 by column 3)</t>
  </si>
  <si>
    <t>Average (final column is all that is needed)</t>
  </si>
  <si>
    <t>Step 1</t>
  </si>
  <si>
    <t>Step 2</t>
  </si>
  <si>
    <t>Number of ears in 17.5 ft of row</t>
  </si>
  <si>
    <t>Site 1</t>
  </si>
  <si>
    <t>Site 2</t>
  </si>
  <si>
    <t>Site 3</t>
  </si>
  <si>
    <t>Site 4</t>
  </si>
  <si>
    <t>Site 5</t>
  </si>
  <si>
    <t>Average of Sites</t>
  </si>
  <si>
    <t>Step 3</t>
  </si>
  <si>
    <t>Remove the 3rd, 7th, and 13 th ear from the ears counted</t>
  </si>
  <si>
    <t>Count kernel number per ear on each ear and record below.</t>
  </si>
  <si>
    <t>Step 4  Multiply ear number (step1) by kernel number per ear (step 3) and multiply by 0.0116.</t>
  </si>
  <si>
    <t>Estimated Yield Results</t>
  </si>
  <si>
    <t>Bushels per Acre</t>
  </si>
  <si>
    <t xml:space="preserve">with an estimated grain yield, take the yield and divide by 5 to arrive at tons/acre.  </t>
  </si>
  <si>
    <t xml:space="preserve">Number of kernel  </t>
  </si>
  <si>
    <t>rows around the ear</t>
  </si>
  <si>
    <t xml:space="preserve">To get a ball park idea of droughty corn silage tonnage while standing in the field and </t>
  </si>
  <si>
    <t xml:space="preserve">The final price is negotiated by the buyer and seller of the corn silage.  This is by no means the absolute </t>
  </si>
  <si>
    <t>2.  Cost of Grain Harvest (Bu*Kansas custom rate) per acre</t>
  </si>
  <si>
    <t>3.  Cost of Hauling Grain (Bu* Kansas custom rate) per acre</t>
  </si>
  <si>
    <t>16.  Value per acre of corn to the silo, if the owner harvests (L11+L13+L14)</t>
  </si>
  <si>
    <t>17.  Value per ton of corn to the silo, if the owner harvests (L16/L5)</t>
  </si>
  <si>
    <t>11.  Maximum Value per acre of corn standing in the field (L4+L10)</t>
  </si>
  <si>
    <t>12.  Maximum Value per ton of corn standing in the field (L11/L5)</t>
  </si>
  <si>
    <t>Current Price of grain sorghum per bushel</t>
  </si>
  <si>
    <t>Cost of Harvesting grain sorghum to Market per Bushel</t>
  </si>
  <si>
    <t>Cost of Hauling grain sorghum to Market</t>
  </si>
  <si>
    <t>1.  Value of grain sorghum as Grain per Acre</t>
  </si>
  <si>
    <t>11.  Maximum Value per acre of grain sorghum standing in the field (L4+L10)</t>
  </si>
  <si>
    <t>12.  Maximum Value per ton of grain sorghum standing in the field (L11/L5)</t>
  </si>
  <si>
    <t>16.  Value per acre of grain sorghum to the silo, if the owner harvests (L11+L13+L14)</t>
  </si>
  <si>
    <t>17.  Value per ton of grain sorghum to the silo, if the owner harvests (L16/L5)</t>
  </si>
  <si>
    <t xml:space="preserve">To get a ball park idea of droughty grain sorghum silage tonnage while standing in the field and </t>
  </si>
  <si>
    <t>This spreadsheet is to help with grain sorghum and beef producers arrive at an equitable</t>
  </si>
  <si>
    <t xml:space="preserve">The final price is negotiated by the buyer and seller of the grain sorghum silage.  This is by no means the absolute </t>
  </si>
  <si>
    <t>8.  Weight of grain sorghum 90% air dry (pounds)</t>
  </si>
  <si>
    <t>What's a head weigh per bushel?</t>
  </si>
  <si>
    <t>What is the grain to forage ratio</t>
  </si>
  <si>
    <t>Can we convert from grain sorghum to forage sorghum</t>
  </si>
  <si>
    <t xml:space="preserve"> </t>
  </si>
  <si>
    <t>Estimated Stover for Grazing</t>
  </si>
  <si>
    <t>Bu/A</t>
  </si>
  <si>
    <t>lbs./A</t>
  </si>
  <si>
    <t>pounds per acre</t>
  </si>
  <si>
    <t>per ton</t>
  </si>
  <si>
    <t>Value of Corn Residue for grazing</t>
  </si>
  <si>
    <t>per acre</t>
  </si>
  <si>
    <t>Water Costs</t>
  </si>
  <si>
    <t>Fencing</t>
  </si>
  <si>
    <t>Months of Grazing</t>
  </si>
  <si>
    <t>If so, how far?</t>
  </si>
  <si>
    <t>If so, how often?</t>
  </si>
  <si>
    <t>If so, how many sides are electric fenced</t>
  </si>
  <si>
    <t>How many cows will be in this field?</t>
  </si>
  <si>
    <t>Do you have to haul water? Yes=1, No=0</t>
  </si>
  <si>
    <t>Do you provide fencing? Yes=1, No=0</t>
  </si>
  <si>
    <t>Cost per Cow</t>
  </si>
  <si>
    <t>Supplemental Protein Cost per Day</t>
  </si>
  <si>
    <t>Total Cost</t>
  </si>
  <si>
    <t>Tenant….</t>
  </si>
  <si>
    <t>Value of Soybean Meal</t>
  </si>
  <si>
    <t>Good Yields--Cows/Acre</t>
  </si>
  <si>
    <t>Low Yields--Acres/Cow</t>
  </si>
  <si>
    <t>#/month</t>
  </si>
  <si>
    <t>Could add cost benefit analysis for tenant and landlord like Jerry Warmann did.</t>
  </si>
  <si>
    <t>Compare to other States like Colorado and Iowa</t>
  </si>
  <si>
    <t>A survey and regression analysis would be nice for Kansas</t>
  </si>
  <si>
    <t>Make this look like other spreadsheets</t>
  </si>
  <si>
    <t>Value of Fair Quality Brome Hay</t>
  </si>
  <si>
    <t>Rent per head per day</t>
  </si>
  <si>
    <t>Rent per head per acre per month</t>
  </si>
  <si>
    <t>Days of Desired Grazing</t>
  </si>
  <si>
    <t>days</t>
  </si>
  <si>
    <t>Rent per acre</t>
  </si>
  <si>
    <t xml:space="preserve"> (Cow(s)/Acre/Month)</t>
  </si>
  <si>
    <t>Stocking Rate</t>
  </si>
  <si>
    <t>Price per ton of Grass Hay (in Kansas use brome)</t>
  </si>
  <si>
    <t>For corn yields below 20 bu./acre, the value of the corn silage is reduced by 15%, due to lower feed value.</t>
  </si>
  <si>
    <t>This spreadsheet is to help with corn and beef producers arrive at an equitable  value of standing corn for silage.</t>
  </si>
  <si>
    <t>The figures in the input table that are shaded blue may be changed.  Figures that are shaded gray may not be changed.</t>
  </si>
  <si>
    <t>Table 2.  Corn Bushels per Ton of Silage</t>
  </si>
  <si>
    <t>Corn Bushels per Ton Table</t>
  </si>
  <si>
    <t>Yield</t>
  </si>
  <si>
    <t>Bu/Ton</t>
  </si>
  <si>
    <t>For normal corn silage, bushels per ton range should beween  7 to 8 bu/ton.</t>
  </si>
  <si>
    <t xml:space="preserve">The spreadsheet automatically adjusts for whether the corn silage is droughty or not based on research from Iowa State. </t>
  </si>
  <si>
    <t xml:space="preserve">The cost of fertilizer removed by the crop stover is not added, because the spreadsheet calculates a value for the stover. </t>
  </si>
  <si>
    <t>up to 180 bu/A, after that estimated at 8</t>
  </si>
  <si>
    <t xml:space="preserve">Cost/Ton of Entire Haying Operation-include cutting, baling, hauling, and stacking </t>
  </si>
  <si>
    <t>Price per ton of standing hay per ton (take brome hay price and subtract total haying custom rate)</t>
  </si>
  <si>
    <t>From Iowa State University</t>
  </si>
  <si>
    <r>
      <t xml:space="preserve">1 </t>
    </r>
    <r>
      <rPr>
        <sz val="10"/>
        <rFont val="Arial"/>
        <family val="0"/>
      </rPr>
      <t>Values in this table are based on 11 years data from Iowa State University's Galva-Primghar Experimental Farm. Data supplied by W.D. Shrader.</t>
    </r>
  </si>
  <si>
    <t>Renting Corn or Milo Stalks</t>
  </si>
  <si>
    <t>Average Weight of Cattle</t>
  </si>
  <si>
    <t>Residue Consumed per month</t>
  </si>
  <si>
    <t>Pounds of Protein fed head per day</t>
  </si>
  <si>
    <t>Yield per Acre</t>
  </si>
  <si>
    <t xml:space="preserve"> value of standing grain sorghum for silage or the value in the silo or if the buyers harvests the silage instead of the owner of the silage.</t>
  </si>
  <si>
    <t>price.  Supply and demand and arbritage ultimately determine the price of sorghum silage.</t>
  </si>
  <si>
    <t>price of drought stricken or normal corn silage.  Supply and demand and arbritage ultimately determine the price of sorghum silage.</t>
  </si>
  <si>
    <t>Sorghum-sudan with its low grain yield is typically 65% to 80% of the value of corn silage.</t>
  </si>
  <si>
    <t>Valuing Corn Silage</t>
  </si>
  <si>
    <t>what are historic silage values</t>
  </si>
  <si>
    <t>Quick and Dirty</t>
  </si>
  <si>
    <t>Grain Price</t>
  </si>
  <si>
    <t>In Field</t>
  </si>
  <si>
    <t>In Silo</t>
  </si>
  <si>
    <t>DM vs Wet</t>
  </si>
  <si>
    <t>Valuing Sorghum for Silage--Needs more research</t>
  </si>
  <si>
    <t>Revised 08/13/12</t>
  </si>
  <si>
    <t>Head/Acre</t>
  </si>
  <si>
    <t>Days Grazed</t>
  </si>
  <si>
    <t>% Grazed</t>
  </si>
  <si>
    <t xml:space="preserve"> Per Day</t>
  </si>
  <si>
    <t>Grazed Per Head</t>
  </si>
  <si>
    <t>Pounds of Residue Removed from Grazing</t>
  </si>
  <si>
    <t>Percent Crop Residue Removed From Grazing</t>
  </si>
  <si>
    <t>What the Tenant Can Afford to Pay</t>
  </si>
  <si>
    <t xml:space="preserve">Days of Grazing Per Cow </t>
  </si>
  <si>
    <t xml:space="preserve"> (Acres/Cow)</t>
  </si>
  <si>
    <t>Cost to Haul Water per Mile</t>
  </si>
  <si>
    <t>Estimated Value of Residue Consumed</t>
  </si>
  <si>
    <t>What about including soybeans and othe forages and use the Lookup Function?</t>
  </si>
  <si>
    <t>18.  Net Value per acre of corn to the silo, if buyer harvests (L11-L13-L14-L15)</t>
  </si>
  <si>
    <t>19.  Net Value per ton of corn to the silo, if buyer harvests (L16/L5)</t>
  </si>
  <si>
    <t xml:space="preserve">with an estimated grain yield, take the tonnage times 50%.  </t>
  </si>
  <si>
    <t>Estimated grain content (use 5-10%) for forage sorghum and 50% for grain sorghum</t>
  </si>
  <si>
    <t>50% grain</t>
  </si>
  <si>
    <t xml:space="preserve">Arkansas </t>
  </si>
  <si>
    <t>About 5.5 tons DM for Grain Sorghum</t>
  </si>
  <si>
    <t>1.  Quantity of Silage (Tons)</t>
  </si>
  <si>
    <t xml:space="preserve">Wheat hay or similar cool-season grass hay dry matter percentage </t>
  </si>
  <si>
    <t>3.  Pounds of Dry Matter per Ton if Silage</t>
  </si>
  <si>
    <t>4.  Value of Hay on a Dry Matter Basis per 100 lbs.</t>
  </si>
  <si>
    <t>8.  Less Storage Loss per ton</t>
  </si>
  <si>
    <t xml:space="preserve">6.  Less Silage Chopping Cost per Ton (L1 times Cost) </t>
  </si>
  <si>
    <t>7.  Less Silage Hauling and Packing Cost per Ton (L5 times Cost)</t>
  </si>
  <si>
    <t>9. Net Value per ton of wheat silage to the silo, if buyer harvests (L5-L6-L7-L8)</t>
  </si>
  <si>
    <t>5.  Value of Wheat Silage per Ton to the Silo</t>
  </si>
  <si>
    <t>Cost of haying for entire operation $/Tons</t>
  </si>
  <si>
    <t>Value of Standing Hay per ton</t>
  </si>
  <si>
    <t>Valuing Wheat, Alfalfa, or Small Grain Forages for Silage</t>
  </si>
  <si>
    <t>10.  Total Value of Wheat, Alfalfa, or Small Grain Silage to the Silo</t>
  </si>
  <si>
    <t>11.  Net Total Value of Wheat, Alfalfa, or Small Grain silage to the silo, if buyer harvests (L5-L6-L7-L8)</t>
  </si>
  <si>
    <t>The figures in the input table that are colored blue may be changed.  Figures that are black or red may not be changed.</t>
  </si>
  <si>
    <t>This spreadsheet is to help with wheat, alfalfa, small grain, and beef producers arrive at an equitable value of wheat, alfalfa, or small grain silage in the silo</t>
  </si>
  <si>
    <t>or standing in the field and the buyer harvests the silage.</t>
  </si>
  <si>
    <t>or small grain silage.</t>
  </si>
  <si>
    <t xml:space="preserve">The final price is negotiated by the buyer and seller of the silage.  This is by no means the absolute price of wheat, alfalfa, </t>
  </si>
  <si>
    <t>Based on a worksheet by Myron Bennet, retired University of Missouri Ext. Ag Economist and on a Purdue University Paper, "Determining a Value For Silage Crops"</t>
  </si>
  <si>
    <t>2.  Pounds of Dry Matter per Ton if Hay</t>
  </si>
  <si>
    <t>5.  Value of Wheat, Alfalfa, or Small Grain for Silage per Ton to the Silo</t>
  </si>
  <si>
    <t>9.  Net Value per ton of Wheat, Alfalfa, or Small Grain silage to the silo, if buyer harvests (L5-L6-L7-L8)</t>
  </si>
  <si>
    <t>Price of wheat hay or similar cool-season grass hay or for alfalfa haylage the price of alfalfa</t>
  </si>
  <si>
    <t>Developed by Scott Staggenborg, Former KSRE Agronomist</t>
  </si>
  <si>
    <t>Dimensions of the Trench Silo</t>
  </si>
  <si>
    <t>Length</t>
  </si>
  <si>
    <t>Width</t>
  </si>
  <si>
    <t>Height</t>
  </si>
  <si>
    <t>Corn or Grass Silage Weight</t>
  </si>
  <si>
    <t>Moisture Content</t>
  </si>
  <si>
    <t>Feet</t>
  </si>
  <si>
    <t>Calculations</t>
  </si>
  <si>
    <t>Cubic Feet</t>
  </si>
  <si>
    <t>Pounds of Silage</t>
  </si>
  <si>
    <t>Tons of Silage in Trench Silo</t>
  </si>
  <si>
    <t>This spreadsheet will help estimate how many tons of corn or grass silage that is in a trench silo.</t>
  </si>
  <si>
    <t>Trench Silo Tonnage Estimator</t>
  </si>
  <si>
    <t>Revised 9/04/13</t>
  </si>
  <si>
    <t>Notes for Improvements</t>
  </si>
  <si>
    <t xml:space="preserve"> Pounds Dry Matter per Cubic Foot</t>
  </si>
  <si>
    <t>Spreadsheet developed by Michael Vogt, former Marshall County Extension Agent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</si>
</sst>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409]dddd\,\ mmmm\ dd\,\ yyyy"/>
    <numFmt numFmtId="167" formatCode="[$-409]h:mm:ss\ AM/PM"/>
    <numFmt numFmtId="168" formatCode="_(* #,##0.000_);_(* \(#,##0.000\);_(* &quot;-&quot;??_);_(@_)"/>
    <numFmt numFmtId="169" formatCode="_(* #,##0.0_);_(* \(#,##0.0\);_(* &quot;-&quot;??_);_(@_)"/>
    <numFmt numFmtId="170" formatCode="_(* #,##0_);_(* \(#,##0\);_(* &quot;-&quot;??_);_(@_)"/>
    <numFmt numFmtId="171" formatCode="0.0%"/>
  </numFmts>
  <fonts count="74">
    <font>
      <sz val="10"/>
      <name val="Arial"/>
      <family val="0"/>
    </font>
    <font>
      <b/>
      <sz val="10"/>
      <name val="Arial"/>
      <family val="2"/>
    </font>
    <font>
      <b/>
      <sz val="8"/>
      <name val="Arial"/>
      <family val="2"/>
    </font>
    <font>
      <b/>
      <i/>
      <sz val="8"/>
      <name val="Arial"/>
      <family val="2"/>
    </font>
    <font>
      <b/>
      <sz val="12"/>
      <name val="Arial"/>
      <family val="2"/>
    </font>
    <font>
      <sz val="12"/>
      <name val="Arial"/>
      <family val="2"/>
    </font>
    <font>
      <sz val="8"/>
      <name val="Tahoma"/>
      <family val="2"/>
    </font>
    <font>
      <b/>
      <sz val="9"/>
      <name val="Arial"/>
      <family val="2"/>
    </font>
    <font>
      <sz val="9"/>
      <name val="Arial"/>
      <family val="2"/>
    </font>
    <font>
      <b/>
      <sz val="8"/>
      <name val="Tahoma"/>
      <family val="2"/>
    </font>
    <font>
      <sz val="8"/>
      <name val="Arial"/>
      <family val="2"/>
    </font>
    <font>
      <sz val="10"/>
      <color indexed="12"/>
      <name val="Arial Black"/>
      <family val="2"/>
    </font>
    <font>
      <b/>
      <sz val="10"/>
      <color indexed="10"/>
      <name val="Arial"/>
      <family val="2"/>
    </font>
    <font>
      <sz val="10"/>
      <name val="Arial Black"/>
      <family val="2"/>
    </font>
    <font>
      <b/>
      <i/>
      <sz val="9"/>
      <color indexed="10"/>
      <name val="Arial"/>
      <family val="2"/>
    </font>
    <font>
      <vertAlign val="superscript"/>
      <sz val="10"/>
      <name val="Arial"/>
      <family val="2"/>
    </font>
    <font>
      <b/>
      <sz val="10"/>
      <color indexed="12"/>
      <name val="Arial"/>
      <family val="2"/>
    </font>
    <font>
      <u val="single"/>
      <sz val="8"/>
      <color indexed="12"/>
      <name val="Arial"/>
      <family val="2"/>
    </font>
    <font>
      <b/>
      <u val="single"/>
      <sz val="8"/>
      <color indexed="12"/>
      <name val="Arial"/>
      <family val="2"/>
    </font>
    <font>
      <sz val="9"/>
      <name val="Tahoma"/>
      <family val="2"/>
    </font>
    <font>
      <b/>
      <sz val="9"/>
      <name val="Tahoma"/>
      <family val="2"/>
    </font>
    <font>
      <b/>
      <i/>
      <sz val="9"/>
      <name val="Arial Black"/>
      <family val="2"/>
    </font>
    <font>
      <i/>
      <sz val="9"/>
      <name val="Arial Black"/>
      <family val="2"/>
    </font>
    <font>
      <b/>
      <i/>
      <sz val="8"/>
      <name val="Arial Black"/>
      <family val="2"/>
    </font>
    <font>
      <b/>
      <sz val="20"/>
      <color indexed="20"/>
      <name val="Arial"/>
      <family val="2"/>
    </font>
    <font>
      <b/>
      <sz val="20"/>
      <color indexed="20"/>
      <name val="Arial Black"/>
      <family val="2"/>
    </font>
    <font>
      <b/>
      <sz val="8"/>
      <name val="Arial Black"/>
      <family val="2"/>
    </font>
    <font>
      <sz val="12"/>
      <name val="Arial Black"/>
      <family val="2"/>
    </font>
    <font>
      <b/>
      <sz val="12"/>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12"/>
      <name val="Arial"/>
      <family val="2"/>
    </font>
    <font>
      <b/>
      <sz val="8"/>
      <color indexed="36"/>
      <name val="Arial Black"/>
      <family val="2"/>
    </font>
    <font>
      <b/>
      <sz val="20"/>
      <color indexed="36"/>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CC"/>
      <name val="Arial Black"/>
      <family val="2"/>
    </font>
    <font>
      <b/>
      <sz val="10"/>
      <color rgb="FF0000CC"/>
      <name val="Arial"/>
      <family val="2"/>
    </font>
    <font>
      <sz val="10"/>
      <color rgb="FF0000CC"/>
      <name val="Arial"/>
      <family val="2"/>
    </font>
    <font>
      <b/>
      <sz val="8"/>
      <color rgb="FF7030A0"/>
      <name val="Arial Black"/>
      <family val="2"/>
    </font>
    <font>
      <b/>
      <sz val="10"/>
      <color rgb="FF0000FF"/>
      <name val="Arial"/>
      <family val="2"/>
    </font>
    <font>
      <b/>
      <sz val="20"/>
      <color rgb="FF7030A0"/>
      <name val="Arial Black"/>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style="medium"/>
      <right>
        <color indexed="63"/>
      </right>
      <top style="thin"/>
      <bottom style="thin"/>
    </border>
    <border>
      <left style="thin"/>
      <right style="medium"/>
      <top style="medium"/>
      <bottom style="thin"/>
    </border>
    <border>
      <left>
        <color indexed="63"/>
      </left>
      <right style="medium"/>
      <top style="thin"/>
      <bottom style="thin"/>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4">
    <xf numFmtId="0" fontId="0" fillId="0" borderId="0" xfId="0" applyAlignment="1">
      <alignment/>
    </xf>
    <xf numFmtId="0" fontId="0" fillId="33" borderId="0" xfId="0" applyFill="1" applyAlignment="1">
      <alignment/>
    </xf>
    <xf numFmtId="0" fontId="0" fillId="33" borderId="10" xfId="0" applyFill="1" applyBorder="1" applyAlignment="1">
      <alignment/>
    </xf>
    <xf numFmtId="0" fontId="0" fillId="33" borderId="0" xfId="0" applyFill="1" applyBorder="1" applyAlignment="1">
      <alignment/>
    </xf>
    <xf numFmtId="0" fontId="1" fillId="33" borderId="0" xfId="0" applyFont="1" applyFill="1" applyBorder="1" applyAlignment="1">
      <alignment/>
    </xf>
    <xf numFmtId="0" fontId="1"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1" fillId="33" borderId="16" xfId="0" applyFont="1" applyFill="1" applyBorder="1" applyAlignment="1">
      <alignment/>
    </xf>
    <xf numFmtId="0" fontId="0" fillId="33" borderId="17" xfId="0" applyFill="1" applyBorder="1" applyAlignment="1">
      <alignment/>
    </xf>
    <xf numFmtId="0" fontId="1" fillId="33" borderId="18" xfId="0" applyFont="1" applyFill="1" applyBorder="1" applyAlignment="1">
      <alignment/>
    </xf>
    <xf numFmtId="0" fontId="1" fillId="33" borderId="13" xfId="0" applyFont="1" applyFill="1" applyBorder="1" applyAlignment="1">
      <alignment horizontal="center"/>
    </xf>
    <xf numFmtId="0" fontId="2" fillId="33" borderId="0" xfId="0" applyFont="1" applyFill="1" applyAlignment="1">
      <alignment/>
    </xf>
    <xf numFmtId="0" fontId="4" fillId="33" borderId="11" xfId="0" applyFont="1" applyFill="1" applyBorder="1" applyAlignment="1">
      <alignment/>
    </xf>
    <xf numFmtId="0" fontId="5" fillId="33" borderId="12" xfId="0" applyFont="1" applyFill="1" applyBorder="1" applyAlignment="1">
      <alignment/>
    </xf>
    <xf numFmtId="0" fontId="4" fillId="33" borderId="13" xfId="0" applyFont="1" applyFill="1" applyBorder="1" applyAlignment="1">
      <alignment horizontal="center"/>
    </xf>
    <xf numFmtId="0" fontId="4" fillId="33" borderId="14" xfId="0" applyFont="1" applyFill="1" applyBorder="1" applyAlignment="1">
      <alignment/>
    </xf>
    <xf numFmtId="0" fontId="4" fillId="33" borderId="0" xfId="0" applyFont="1" applyFill="1" applyBorder="1" applyAlignment="1">
      <alignment/>
    </xf>
    <xf numFmtId="164" fontId="4" fillId="34" borderId="15" xfId="0" applyNumberFormat="1" applyFont="1" applyFill="1" applyBorder="1" applyAlignment="1">
      <alignment/>
    </xf>
    <xf numFmtId="0" fontId="5" fillId="33" borderId="0" xfId="0" applyFont="1" applyFill="1" applyBorder="1" applyAlignment="1">
      <alignment/>
    </xf>
    <xf numFmtId="0" fontId="4" fillId="33" borderId="18" xfId="0" applyFont="1" applyFill="1" applyBorder="1" applyAlignment="1">
      <alignment/>
    </xf>
    <xf numFmtId="0" fontId="4" fillId="33" borderId="19" xfId="0" applyFont="1" applyFill="1" applyBorder="1" applyAlignment="1">
      <alignment/>
    </xf>
    <xf numFmtId="164" fontId="4" fillId="34" borderId="20" xfId="0" applyNumberFormat="1" applyFont="1" applyFill="1" applyBorder="1" applyAlignment="1">
      <alignment/>
    </xf>
    <xf numFmtId="0" fontId="8" fillId="33" borderId="0" xfId="0" applyFont="1" applyFill="1" applyAlignment="1">
      <alignment/>
    </xf>
    <xf numFmtId="0" fontId="2" fillId="33" borderId="21"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xf>
    <xf numFmtId="0" fontId="2" fillId="33" borderId="14" xfId="0" applyFont="1" applyFill="1" applyBorder="1" applyAlignment="1">
      <alignment/>
    </xf>
    <xf numFmtId="0" fontId="2" fillId="33" borderId="0" xfId="0" applyFont="1" applyFill="1" applyBorder="1" applyAlignment="1">
      <alignment/>
    </xf>
    <xf numFmtId="0" fontId="2" fillId="33" borderId="15"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xf>
    <xf numFmtId="0" fontId="3" fillId="33" borderId="15"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0" fontId="3" fillId="33" borderId="20" xfId="0" applyFont="1" applyFill="1" applyBorder="1" applyAlignment="1">
      <alignment/>
    </xf>
    <xf numFmtId="0" fontId="1" fillId="33" borderId="0" xfId="0" applyFont="1" applyFill="1" applyAlignment="1">
      <alignment/>
    </xf>
    <xf numFmtId="0" fontId="0" fillId="33" borderId="18" xfId="0" applyFill="1" applyBorder="1" applyAlignment="1">
      <alignment/>
    </xf>
    <xf numFmtId="0" fontId="0" fillId="33" borderId="19" xfId="0" applyFill="1" applyBorder="1" applyAlignment="1">
      <alignment/>
    </xf>
    <xf numFmtId="0" fontId="0" fillId="33" borderId="16" xfId="0" applyFill="1" applyBorder="1" applyAlignment="1">
      <alignment/>
    </xf>
    <xf numFmtId="0" fontId="4" fillId="33" borderId="24" xfId="0" applyFont="1" applyFill="1" applyBorder="1" applyAlignment="1">
      <alignment/>
    </xf>
    <xf numFmtId="2" fontId="4" fillId="35" borderId="25" xfId="0" applyNumberFormat="1" applyFont="1" applyFill="1" applyBorder="1" applyAlignment="1">
      <alignment/>
    </xf>
    <xf numFmtId="0" fontId="4" fillId="33" borderId="26" xfId="0" applyFont="1" applyFill="1" applyBorder="1" applyAlignment="1">
      <alignment/>
    </xf>
    <xf numFmtId="0" fontId="10" fillId="33" borderId="0" xfId="0" applyFont="1" applyFill="1" applyAlignment="1">
      <alignment/>
    </xf>
    <xf numFmtId="0" fontId="0" fillId="35" borderId="27" xfId="0" applyFill="1" applyBorder="1" applyAlignment="1">
      <alignment horizontal="center"/>
    </xf>
    <xf numFmtId="0" fontId="1" fillId="33" borderId="28" xfId="0" applyFont="1" applyFill="1" applyBorder="1" applyAlignment="1">
      <alignment/>
    </xf>
    <xf numFmtId="0" fontId="0" fillId="33" borderId="28" xfId="0" applyFill="1" applyBorder="1" applyAlignment="1">
      <alignment/>
    </xf>
    <xf numFmtId="0" fontId="0" fillId="33" borderId="11" xfId="0" applyFill="1" applyBorder="1" applyAlignment="1">
      <alignment/>
    </xf>
    <xf numFmtId="0" fontId="0" fillId="33" borderId="29" xfId="0" applyFill="1" applyBorder="1" applyAlignment="1">
      <alignment horizontal="center"/>
    </xf>
    <xf numFmtId="0" fontId="1" fillId="33" borderId="30" xfId="0" applyFont="1" applyFill="1" applyBorder="1" applyAlignment="1">
      <alignment horizontal="center"/>
    </xf>
    <xf numFmtId="1" fontId="1" fillId="35" borderId="31" xfId="0" applyNumberFormat="1" applyFont="1" applyFill="1" applyBorder="1" applyAlignment="1">
      <alignment horizontal="center"/>
    </xf>
    <xf numFmtId="164" fontId="0" fillId="33" borderId="15" xfId="0" applyNumberFormat="1" applyFill="1" applyBorder="1" applyAlignment="1">
      <alignment/>
    </xf>
    <xf numFmtId="0" fontId="11" fillId="33" borderId="15" xfId="0" applyFont="1" applyFill="1" applyBorder="1" applyAlignment="1">
      <alignment/>
    </xf>
    <xf numFmtId="164" fontId="11" fillId="33" borderId="15" xfId="0" applyNumberFormat="1" applyFont="1" applyFill="1" applyBorder="1" applyAlignment="1">
      <alignment/>
    </xf>
    <xf numFmtId="9" fontId="11" fillId="33" borderId="15" xfId="0" applyNumberFormat="1" applyFont="1" applyFill="1" applyBorder="1" applyAlignment="1">
      <alignment/>
    </xf>
    <xf numFmtId="2" fontId="0" fillId="33" borderId="15" xfId="0" applyNumberFormat="1" applyFill="1" applyBorder="1" applyAlignment="1">
      <alignment/>
    </xf>
    <xf numFmtId="3" fontId="0" fillId="33" borderId="15" xfId="0" applyNumberFormat="1" applyFill="1" applyBorder="1" applyAlignment="1">
      <alignment/>
    </xf>
    <xf numFmtId="0" fontId="12" fillId="33" borderId="14" xfId="0" applyFont="1" applyFill="1" applyBorder="1" applyAlignment="1">
      <alignment/>
    </xf>
    <xf numFmtId="0" fontId="12" fillId="33" borderId="0" xfId="0" applyFont="1" applyFill="1" applyBorder="1" applyAlignment="1">
      <alignment/>
    </xf>
    <xf numFmtId="0" fontId="12" fillId="33" borderId="15" xfId="0" applyFont="1" applyFill="1" applyBorder="1" applyAlignment="1">
      <alignment/>
    </xf>
    <xf numFmtId="164" fontId="12" fillId="33" borderId="15" xfId="0" applyNumberFormat="1" applyFont="1" applyFill="1" applyBorder="1" applyAlignment="1">
      <alignment/>
    </xf>
    <xf numFmtId="0" fontId="1" fillId="33" borderId="32" xfId="0" applyFont="1" applyFill="1" applyBorder="1" applyAlignment="1">
      <alignment/>
    </xf>
    <xf numFmtId="0" fontId="1" fillId="33" borderId="33" xfId="0" applyFont="1" applyFill="1" applyBorder="1" applyAlignment="1">
      <alignment/>
    </xf>
    <xf numFmtId="0" fontId="1" fillId="33" borderId="10" xfId="0" applyFont="1" applyFill="1" applyBorder="1" applyAlignment="1">
      <alignment/>
    </xf>
    <xf numFmtId="0" fontId="1" fillId="33" borderId="17"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1" fillId="33" borderId="15" xfId="0" applyFont="1" applyFill="1" applyBorder="1" applyAlignment="1">
      <alignment/>
    </xf>
    <xf numFmtId="0" fontId="12" fillId="33" borderId="34" xfId="0" applyFont="1" applyFill="1" applyBorder="1" applyAlignment="1">
      <alignment/>
    </xf>
    <xf numFmtId="0" fontId="12" fillId="33" borderId="32" xfId="0" applyFont="1" applyFill="1" applyBorder="1" applyAlignment="1">
      <alignment/>
    </xf>
    <xf numFmtId="0" fontId="12" fillId="33" borderId="33" xfId="0" applyFont="1" applyFill="1" applyBorder="1" applyAlignment="1">
      <alignment/>
    </xf>
    <xf numFmtId="164" fontId="12" fillId="33" borderId="33" xfId="0" applyNumberFormat="1" applyFont="1" applyFill="1" applyBorder="1" applyAlignment="1">
      <alignment/>
    </xf>
    <xf numFmtId="0" fontId="12" fillId="33" borderId="16" xfId="0" applyFont="1" applyFill="1" applyBorder="1" applyAlignment="1">
      <alignment/>
    </xf>
    <xf numFmtId="0" fontId="12" fillId="33" borderId="10" xfId="0" applyFont="1" applyFill="1" applyBorder="1" applyAlignment="1">
      <alignment/>
    </xf>
    <xf numFmtId="0" fontId="12" fillId="33" borderId="17" xfId="0" applyFont="1" applyFill="1" applyBorder="1" applyAlignment="1">
      <alignment/>
    </xf>
    <xf numFmtId="164" fontId="12" fillId="33" borderId="17" xfId="0" applyNumberFormat="1" applyFont="1" applyFill="1" applyBorder="1" applyAlignment="1">
      <alignment/>
    </xf>
    <xf numFmtId="0" fontId="1" fillId="33" borderId="34" xfId="0" applyFont="1" applyFill="1" applyBorder="1" applyAlignment="1">
      <alignment/>
    </xf>
    <xf numFmtId="164" fontId="1" fillId="33" borderId="33" xfId="0" applyNumberFormat="1" applyFont="1" applyFill="1" applyBorder="1" applyAlignment="1">
      <alignment/>
    </xf>
    <xf numFmtId="164" fontId="1" fillId="33" borderId="17" xfId="0" applyNumberFormat="1" applyFont="1" applyFill="1" applyBorder="1" applyAlignment="1">
      <alignment/>
    </xf>
    <xf numFmtId="0" fontId="1" fillId="33" borderId="14" xfId="0" applyFont="1" applyFill="1" applyBorder="1" applyAlignment="1">
      <alignment/>
    </xf>
    <xf numFmtId="164" fontId="1" fillId="33" borderId="15" xfId="0" applyNumberFormat="1" applyFont="1"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164" fontId="1" fillId="33" borderId="20" xfId="0" applyNumberFormat="1" applyFont="1" applyFill="1" applyBorder="1" applyAlignment="1">
      <alignment/>
    </xf>
    <xf numFmtId="0" fontId="4" fillId="33" borderId="35" xfId="0" applyFont="1" applyFill="1" applyBorder="1" applyAlignment="1">
      <alignment/>
    </xf>
    <xf numFmtId="0" fontId="4" fillId="33" borderId="36" xfId="0" applyFont="1" applyFill="1" applyBorder="1" applyAlignment="1">
      <alignment/>
    </xf>
    <xf numFmtId="0" fontId="4" fillId="33" borderId="34" xfId="0" applyFont="1" applyFill="1" applyBorder="1" applyAlignment="1">
      <alignment/>
    </xf>
    <xf numFmtId="165" fontId="11" fillId="33" borderId="15" xfId="0" applyNumberFormat="1" applyFont="1" applyFill="1" applyBorder="1" applyAlignment="1">
      <alignment/>
    </xf>
    <xf numFmtId="0" fontId="4" fillId="33" borderId="32" xfId="0" applyFont="1" applyFill="1" applyBorder="1" applyAlignment="1">
      <alignment/>
    </xf>
    <xf numFmtId="0" fontId="4" fillId="33" borderId="16" xfId="0" applyFont="1" applyFill="1" applyBorder="1" applyAlignment="1">
      <alignment/>
    </xf>
    <xf numFmtId="0" fontId="4" fillId="33" borderId="10" xfId="0" applyFont="1" applyFill="1" applyBorder="1" applyAlignment="1">
      <alignment/>
    </xf>
    <xf numFmtId="0" fontId="4" fillId="33" borderId="37" xfId="0" applyFont="1" applyFill="1" applyBorder="1" applyAlignment="1">
      <alignment/>
    </xf>
    <xf numFmtId="164" fontId="4" fillId="34" borderId="17" xfId="0" applyNumberFormat="1" applyFont="1" applyFill="1" applyBorder="1" applyAlignment="1">
      <alignment/>
    </xf>
    <xf numFmtId="164" fontId="0" fillId="0" borderId="0" xfId="0" applyNumberFormat="1" applyAlignment="1">
      <alignment/>
    </xf>
    <xf numFmtId="164" fontId="1" fillId="33" borderId="0" xfId="0" applyNumberFormat="1" applyFont="1" applyFill="1" applyAlignment="1">
      <alignment/>
    </xf>
    <xf numFmtId="0" fontId="2" fillId="33" borderId="32" xfId="0" applyFont="1" applyFill="1" applyBorder="1" applyAlignment="1">
      <alignment/>
    </xf>
    <xf numFmtId="0" fontId="0" fillId="33" borderId="0" xfId="0" applyFill="1" applyBorder="1" applyAlignment="1">
      <alignment horizontal="center"/>
    </xf>
    <xf numFmtId="164" fontId="1" fillId="33" borderId="10" xfId="0" applyNumberFormat="1" applyFont="1" applyFill="1" applyBorder="1" applyAlignment="1">
      <alignment/>
    </xf>
    <xf numFmtId="0" fontId="2" fillId="33" borderId="34" xfId="0" applyFont="1" applyFill="1" applyBorder="1" applyAlignment="1">
      <alignment/>
    </xf>
    <xf numFmtId="164" fontId="0" fillId="33" borderId="0" xfId="0" applyNumberFormat="1" applyFill="1" applyBorder="1" applyAlignment="1">
      <alignment horizontal="center"/>
    </xf>
    <xf numFmtId="164" fontId="0" fillId="33" borderId="32" xfId="0" applyNumberFormat="1" applyFill="1" applyBorder="1" applyAlignment="1">
      <alignment horizontal="center"/>
    </xf>
    <xf numFmtId="164" fontId="1" fillId="33" borderId="10" xfId="0" applyNumberFormat="1" applyFont="1" applyFill="1" applyBorder="1" applyAlignment="1">
      <alignment horizontal="center"/>
    </xf>
    <xf numFmtId="0" fontId="0" fillId="34" borderId="14" xfId="0" applyFill="1" applyBorder="1" applyAlignment="1">
      <alignment/>
    </xf>
    <xf numFmtId="0" fontId="0" fillId="34" borderId="0" xfId="0" applyFill="1" applyBorder="1" applyAlignment="1">
      <alignment/>
    </xf>
    <xf numFmtId="0" fontId="0" fillId="34" borderId="32" xfId="0" applyFill="1" applyBorder="1" applyAlignment="1">
      <alignment/>
    </xf>
    <xf numFmtId="164" fontId="1" fillId="33" borderId="32" xfId="0" applyNumberFormat="1" applyFont="1" applyFill="1" applyBorder="1" applyAlignment="1">
      <alignment horizontal="center"/>
    </xf>
    <xf numFmtId="0" fontId="1" fillId="33" borderId="32" xfId="0" applyFont="1" applyFill="1" applyBorder="1" applyAlignment="1">
      <alignment horizontal="center"/>
    </xf>
    <xf numFmtId="0" fontId="0" fillId="33" borderId="0" xfId="0" applyFont="1" applyFill="1" applyBorder="1" applyAlignment="1">
      <alignment/>
    </xf>
    <xf numFmtId="0" fontId="1" fillId="34" borderId="0" xfId="0" applyFont="1" applyFill="1" applyBorder="1" applyAlignment="1">
      <alignment horizontal="left"/>
    </xf>
    <xf numFmtId="164" fontId="1" fillId="33" borderId="0" xfId="0" applyNumberFormat="1" applyFont="1" applyFill="1" applyBorder="1" applyAlignment="1">
      <alignment horizontal="center"/>
    </xf>
    <xf numFmtId="0" fontId="1" fillId="33" borderId="0" xfId="0" applyFont="1" applyFill="1" applyBorder="1" applyAlignment="1">
      <alignment horizontal="center"/>
    </xf>
    <xf numFmtId="0" fontId="1" fillId="34" borderId="14" xfId="0" applyFont="1" applyFill="1" applyBorder="1" applyAlignment="1">
      <alignment horizontal="left"/>
    </xf>
    <xf numFmtId="165" fontId="13" fillId="33" borderId="15" xfId="0" applyNumberFormat="1" applyFont="1" applyFill="1" applyBorder="1" applyAlignment="1">
      <alignment/>
    </xf>
    <xf numFmtId="0" fontId="0" fillId="33" borderId="15" xfId="0" applyFont="1" applyFill="1" applyBorder="1" applyAlignment="1">
      <alignment/>
    </xf>
    <xf numFmtId="0" fontId="0" fillId="34" borderId="34" xfId="0" applyFill="1" applyBorder="1" applyAlignment="1">
      <alignment/>
    </xf>
    <xf numFmtId="164" fontId="1" fillId="33" borderId="19" xfId="0" applyNumberFormat="1" applyFont="1" applyFill="1" applyBorder="1" applyAlignment="1">
      <alignment horizontal="center"/>
    </xf>
    <xf numFmtId="0" fontId="1" fillId="33" borderId="19" xfId="0" applyFont="1" applyFill="1" applyBorder="1" applyAlignment="1">
      <alignment horizontal="center"/>
    </xf>
    <xf numFmtId="0" fontId="0" fillId="33" borderId="20" xfId="0" applyFill="1" applyBorder="1" applyAlignment="1">
      <alignment/>
    </xf>
    <xf numFmtId="164" fontId="1" fillId="34" borderId="33" xfId="0" applyNumberFormat="1" applyFont="1" applyFill="1" applyBorder="1" applyAlignment="1">
      <alignment/>
    </xf>
    <xf numFmtId="164" fontId="1" fillId="34" borderId="17" xfId="0" applyNumberFormat="1" applyFont="1" applyFill="1" applyBorder="1" applyAlignment="1">
      <alignment/>
    </xf>
    <xf numFmtId="0" fontId="0" fillId="0" borderId="20" xfId="0" applyBorder="1" applyAlignment="1">
      <alignment/>
    </xf>
    <xf numFmtId="0" fontId="15" fillId="0" borderId="0" xfId="0" applyFont="1" applyAlignment="1">
      <alignment/>
    </xf>
    <xf numFmtId="164" fontId="12" fillId="34" borderId="33" xfId="0" applyNumberFormat="1" applyFont="1" applyFill="1" applyBorder="1" applyAlignment="1">
      <alignment/>
    </xf>
    <xf numFmtId="164" fontId="12" fillId="34" borderId="15" xfId="0" applyNumberFormat="1" applyFont="1" applyFill="1" applyBorder="1" applyAlignment="1">
      <alignment/>
    </xf>
    <xf numFmtId="164" fontId="12" fillId="34" borderId="17" xfId="0" applyNumberFormat="1" applyFont="1" applyFill="1" applyBorder="1" applyAlignment="1">
      <alignment/>
    </xf>
    <xf numFmtId="164" fontId="1" fillId="34" borderId="15" xfId="0" applyNumberFormat="1" applyFont="1" applyFill="1" applyBorder="1" applyAlignment="1">
      <alignment/>
    </xf>
    <xf numFmtId="164" fontId="1" fillId="34" borderId="20" xfId="0" applyNumberFormat="1" applyFont="1" applyFill="1" applyBorder="1" applyAlignment="1">
      <alignment/>
    </xf>
    <xf numFmtId="0" fontId="0" fillId="0" borderId="21" xfId="0" applyBorder="1" applyAlignment="1">
      <alignment/>
    </xf>
    <xf numFmtId="0" fontId="0" fillId="0" borderId="23"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xf>
    <xf numFmtId="0" fontId="0" fillId="0" borderId="15" xfId="0" applyBorder="1" applyAlignment="1">
      <alignment/>
    </xf>
    <xf numFmtId="164" fontId="0" fillId="34" borderId="15" xfId="0" applyNumberFormat="1" applyFill="1" applyBorder="1" applyAlignment="1">
      <alignment/>
    </xf>
    <xf numFmtId="2" fontId="0" fillId="34" borderId="15" xfId="0" applyNumberFormat="1" applyFill="1" applyBorder="1" applyAlignment="1">
      <alignment/>
    </xf>
    <xf numFmtId="3" fontId="0" fillId="34" borderId="15" xfId="0" applyNumberFormat="1" applyFill="1" applyBorder="1" applyAlignment="1">
      <alignment/>
    </xf>
    <xf numFmtId="0" fontId="0" fillId="0" borderId="18" xfId="0" applyBorder="1" applyAlignment="1">
      <alignment/>
    </xf>
    <xf numFmtId="164" fontId="1" fillId="33" borderId="0" xfId="0" applyNumberFormat="1" applyFont="1" applyFill="1" applyBorder="1" applyAlignment="1">
      <alignment/>
    </xf>
    <xf numFmtId="2" fontId="13" fillId="33" borderId="15" xfId="0" applyNumberFormat="1" applyFont="1" applyFill="1" applyBorder="1" applyAlignment="1">
      <alignment/>
    </xf>
    <xf numFmtId="9" fontId="11" fillId="33" borderId="15" xfId="58" applyFont="1" applyFill="1" applyBorder="1" applyAlignment="1">
      <alignment/>
    </xf>
    <xf numFmtId="2" fontId="1" fillId="34" borderId="15" xfId="0" applyNumberFormat="1" applyFont="1" applyFill="1" applyBorder="1" applyAlignment="1">
      <alignment/>
    </xf>
    <xf numFmtId="2" fontId="1" fillId="33" borderId="15" xfId="0" applyNumberFormat="1" applyFont="1" applyFill="1" applyBorder="1" applyAlignment="1">
      <alignment/>
    </xf>
    <xf numFmtId="0" fontId="1" fillId="0" borderId="0" xfId="0" applyFont="1" applyAlignment="1">
      <alignment/>
    </xf>
    <xf numFmtId="164" fontId="1" fillId="0" borderId="0" xfId="0" applyNumberFormat="1" applyFont="1" applyAlignment="1">
      <alignment/>
    </xf>
    <xf numFmtId="0" fontId="16" fillId="33" borderId="12" xfId="0" applyFont="1" applyFill="1" applyBorder="1" applyAlignment="1">
      <alignment horizontal="center"/>
    </xf>
    <xf numFmtId="0" fontId="16" fillId="33" borderId="38" xfId="0" applyFont="1" applyFill="1" applyBorder="1" applyAlignment="1">
      <alignment horizontal="center"/>
    </xf>
    <xf numFmtId="0" fontId="16" fillId="33" borderId="39" xfId="0" applyFont="1" applyFill="1" applyBorder="1" applyAlignment="1">
      <alignment horizontal="center"/>
    </xf>
    <xf numFmtId="0" fontId="16" fillId="33" borderId="40" xfId="0" applyFont="1" applyFill="1" applyBorder="1" applyAlignment="1">
      <alignment horizontal="center"/>
    </xf>
    <xf numFmtId="0" fontId="18" fillId="33" borderId="0" xfId="52" applyFont="1" applyFill="1" applyBorder="1" applyAlignment="1" applyProtection="1">
      <alignment/>
      <protection/>
    </xf>
    <xf numFmtId="165" fontId="0" fillId="0" borderId="15" xfId="0" applyNumberFormat="1" applyBorder="1" applyAlignment="1">
      <alignment/>
    </xf>
    <xf numFmtId="0" fontId="16" fillId="0" borderId="0" xfId="0" applyFont="1" applyAlignment="1">
      <alignment/>
    </xf>
    <xf numFmtId="9" fontId="16" fillId="0" borderId="0" xfId="0" applyNumberFormat="1" applyFont="1" applyAlignment="1">
      <alignment/>
    </xf>
    <xf numFmtId="0" fontId="1" fillId="0" borderId="0" xfId="0" applyFont="1" applyAlignment="1">
      <alignment horizontal="center"/>
    </xf>
    <xf numFmtId="44" fontId="1" fillId="0" borderId="0" xfId="44" applyFont="1" applyAlignment="1">
      <alignment horizontal="left"/>
    </xf>
    <xf numFmtId="1" fontId="1" fillId="33" borderId="0" xfId="0" applyNumberFormat="1" applyFont="1" applyFill="1" applyBorder="1" applyAlignment="1">
      <alignment horizontal="center"/>
    </xf>
    <xf numFmtId="165" fontId="1" fillId="33" borderId="10" xfId="0" applyNumberFormat="1" applyFont="1" applyFill="1" applyBorder="1" applyAlignment="1">
      <alignment horizontal="center"/>
    </xf>
    <xf numFmtId="2" fontId="1" fillId="33" borderId="32" xfId="0" applyNumberFormat="1" applyFont="1" applyFill="1" applyBorder="1" applyAlignment="1">
      <alignment horizontal="center"/>
    </xf>
    <xf numFmtId="0" fontId="5" fillId="33" borderId="36" xfId="0" applyFont="1" applyFill="1" applyBorder="1" applyAlignment="1">
      <alignment/>
    </xf>
    <xf numFmtId="0" fontId="4" fillId="33" borderId="41" xfId="0" applyFont="1" applyFill="1" applyBorder="1" applyAlignment="1">
      <alignment/>
    </xf>
    <xf numFmtId="14" fontId="3" fillId="33" borderId="20" xfId="0" applyNumberFormat="1" applyFont="1" applyFill="1" applyBorder="1" applyAlignment="1">
      <alignment/>
    </xf>
    <xf numFmtId="10" fontId="11" fillId="33" borderId="15" xfId="0" applyNumberFormat="1" applyFont="1" applyFill="1" applyBorder="1" applyAlignment="1">
      <alignment/>
    </xf>
    <xf numFmtId="0" fontId="0" fillId="33" borderId="38" xfId="0" applyFill="1" applyBorder="1" applyAlignment="1">
      <alignment/>
    </xf>
    <xf numFmtId="0" fontId="0" fillId="33" borderId="30" xfId="0" applyFill="1" applyBorder="1" applyAlignment="1">
      <alignment/>
    </xf>
    <xf numFmtId="0" fontId="0" fillId="33" borderId="14" xfId="0" applyFont="1" applyFill="1" applyBorder="1" applyAlignment="1">
      <alignment/>
    </xf>
    <xf numFmtId="0" fontId="1" fillId="0" borderId="0" xfId="0" applyFont="1" applyFill="1" applyBorder="1" applyAlignment="1">
      <alignment/>
    </xf>
    <xf numFmtId="164" fontId="1" fillId="0" borderId="0" xfId="0" applyNumberFormat="1" applyFont="1" applyFill="1" applyBorder="1" applyAlignment="1">
      <alignment/>
    </xf>
    <xf numFmtId="0" fontId="4" fillId="0" borderId="0" xfId="0" applyFont="1" applyFill="1" applyBorder="1" applyAlignment="1">
      <alignment/>
    </xf>
    <xf numFmtId="164" fontId="4" fillId="0" borderId="0" xfId="0" applyNumberFormat="1" applyFont="1" applyFill="1" applyBorder="1" applyAlignment="1">
      <alignment/>
    </xf>
    <xf numFmtId="0" fontId="7" fillId="36" borderId="21" xfId="0" applyFont="1" applyFill="1" applyBorder="1" applyAlignment="1">
      <alignment/>
    </xf>
    <xf numFmtId="0" fontId="8" fillId="36" borderId="22" xfId="0" applyFont="1" applyFill="1" applyBorder="1" applyAlignment="1">
      <alignment/>
    </xf>
    <xf numFmtId="0" fontId="8" fillId="36" borderId="23" xfId="0" applyFont="1" applyFill="1" applyBorder="1" applyAlignment="1">
      <alignment/>
    </xf>
    <xf numFmtId="0" fontId="7" fillId="36" borderId="14" xfId="0" applyFont="1" applyFill="1" applyBorder="1" applyAlignment="1">
      <alignment/>
    </xf>
    <xf numFmtId="0" fontId="7" fillId="36" borderId="0" xfId="0" applyFont="1" applyFill="1" applyBorder="1" applyAlignment="1">
      <alignment/>
    </xf>
    <xf numFmtId="0" fontId="7" fillId="36" borderId="15" xfId="0" applyFont="1" applyFill="1" applyBorder="1" applyAlignment="1">
      <alignment/>
    </xf>
    <xf numFmtId="0" fontId="8" fillId="36" borderId="0" xfId="0" applyFont="1" applyFill="1" applyBorder="1" applyAlignment="1">
      <alignment/>
    </xf>
    <xf numFmtId="0" fontId="8" fillId="36" borderId="15" xfId="0" applyFont="1" applyFill="1" applyBorder="1" applyAlignment="1">
      <alignment/>
    </xf>
    <xf numFmtId="0" fontId="7" fillId="36" borderId="18" xfId="0" applyFont="1" applyFill="1" applyBorder="1" applyAlignment="1">
      <alignment/>
    </xf>
    <xf numFmtId="0" fontId="8" fillId="36" borderId="19" xfId="0" applyFont="1" applyFill="1" applyBorder="1" applyAlignment="1">
      <alignment/>
    </xf>
    <xf numFmtId="0" fontId="8" fillId="36" borderId="20" xfId="0" applyFont="1" applyFill="1" applyBorder="1" applyAlignment="1">
      <alignment/>
    </xf>
    <xf numFmtId="0" fontId="14" fillId="36" borderId="14" xfId="0" applyFont="1" applyFill="1" applyBorder="1" applyAlignment="1">
      <alignment/>
    </xf>
    <xf numFmtId="0" fontId="4" fillId="0" borderId="18" xfId="0" applyFont="1" applyBorder="1" applyAlignment="1">
      <alignment/>
    </xf>
    <xf numFmtId="0" fontId="5" fillId="33" borderId="25" xfId="0" applyFont="1" applyFill="1" applyBorder="1" applyAlignment="1">
      <alignment/>
    </xf>
    <xf numFmtId="0" fontId="4" fillId="33" borderId="26" xfId="0" applyFont="1" applyFill="1" applyBorder="1" applyAlignment="1">
      <alignment horizontal="center"/>
    </xf>
    <xf numFmtId="164" fontId="4" fillId="37" borderId="15" xfId="0" applyNumberFormat="1" applyFont="1" applyFill="1" applyBorder="1" applyAlignment="1">
      <alignment/>
    </xf>
    <xf numFmtId="0" fontId="5" fillId="0" borderId="19" xfId="0" applyFont="1" applyBorder="1" applyAlignment="1">
      <alignment/>
    </xf>
    <xf numFmtId="164" fontId="4" fillId="37" borderId="20" xfId="0" applyNumberFormat="1" applyFont="1" applyFill="1" applyBorder="1" applyAlignment="1">
      <alignment/>
    </xf>
    <xf numFmtId="0" fontId="1" fillId="37" borderId="24" xfId="0" applyFont="1" applyFill="1" applyBorder="1" applyAlignment="1">
      <alignment/>
    </xf>
    <xf numFmtId="0" fontId="1" fillId="37" borderId="25" xfId="0" applyFont="1" applyFill="1" applyBorder="1" applyAlignment="1">
      <alignment/>
    </xf>
    <xf numFmtId="0" fontId="1" fillId="37" borderId="26" xfId="0" applyFont="1" applyFill="1" applyBorder="1" applyAlignment="1">
      <alignment/>
    </xf>
    <xf numFmtId="44" fontId="1" fillId="37" borderId="26" xfId="44" applyFont="1" applyFill="1" applyBorder="1" applyAlignment="1">
      <alignment/>
    </xf>
    <xf numFmtId="0" fontId="1" fillId="37" borderId="42" xfId="0" applyFont="1" applyFill="1" applyBorder="1" applyAlignment="1">
      <alignment/>
    </xf>
    <xf numFmtId="0" fontId="0" fillId="37" borderId="43" xfId="0" applyFill="1" applyBorder="1" applyAlignment="1">
      <alignment/>
    </xf>
    <xf numFmtId="0" fontId="0" fillId="37" borderId="44" xfId="0" applyFill="1" applyBorder="1" applyAlignment="1">
      <alignment/>
    </xf>
    <xf numFmtId="164" fontId="1" fillId="37" borderId="44" xfId="0" applyNumberFormat="1" applyFont="1" applyFill="1" applyBorder="1" applyAlignment="1">
      <alignment/>
    </xf>
    <xf numFmtId="164" fontId="67" fillId="33" borderId="15" xfId="0" applyNumberFormat="1" applyFont="1" applyFill="1" applyBorder="1" applyAlignment="1">
      <alignment/>
    </xf>
    <xf numFmtId="0" fontId="68" fillId="33" borderId="15" xfId="0" applyNumberFormat="1" applyFont="1" applyFill="1" applyBorder="1" applyAlignment="1">
      <alignment/>
    </xf>
    <xf numFmtId="43" fontId="67" fillId="33" borderId="15" xfId="42" applyFont="1" applyFill="1" applyBorder="1" applyAlignment="1">
      <alignment/>
    </xf>
    <xf numFmtId="0" fontId="21" fillId="36" borderId="14" xfId="0" applyFont="1" applyFill="1" applyBorder="1" applyAlignment="1">
      <alignment/>
    </xf>
    <xf numFmtId="0" fontId="22" fillId="36" borderId="0" xfId="0" applyFont="1" applyFill="1" applyBorder="1" applyAlignment="1">
      <alignment/>
    </xf>
    <xf numFmtId="0" fontId="22" fillId="36" borderId="15" xfId="0" applyFont="1" applyFill="1" applyBorder="1" applyAlignment="1">
      <alignment/>
    </xf>
    <xf numFmtId="0" fontId="21" fillId="36" borderId="18" xfId="0" applyFont="1" applyFill="1" applyBorder="1" applyAlignment="1">
      <alignment/>
    </xf>
    <xf numFmtId="0" fontId="23" fillId="33" borderId="14" xfId="0" applyFont="1" applyFill="1" applyBorder="1" applyAlignment="1">
      <alignment/>
    </xf>
    <xf numFmtId="0" fontId="23" fillId="33" borderId="0" xfId="0" applyFont="1" applyFill="1" applyBorder="1" applyAlignment="1">
      <alignment/>
    </xf>
    <xf numFmtId="0" fontId="23" fillId="33" borderId="18" xfId="0" applyFont="1" applyFill="1" applyBorder="1" applyAlignment="1">
      <alignment/>
    </xf>
    <xf numFmtId="0" fontId="23" fillId="33" borderId="19" xfId="0" applyFont="1" applyFill="1" applyBorder="1" applyAlignment="1">
      <alignment/>
    </xf>
    <xf numFmtId="0" fontId="69" fillId="33" borderId="32" xfId="0" applyFont="1" applyFill="1" applyBorder="1" applyAlignment="1">
      <alignment/>
    </xf>
    <xf numFmtId="9" fontId="69" fillId="33" borderId="0" xfId="0" applyNumberFormat="1" applyFont="1" applyFill="1" applyBorder="1" applyAlignment="1">
      <alignment/>
    </xf>
    <xf numFmtId="9" fontId="70" fillId="33" borderId="0" xfId="0" applyNumberFormat="1" applyFont="1" applyFill="1" applyBorder="1" applyAlignment="1">
      <alignment/>
    </xf>
    <xf numFmtId="0" fontId="69" fillId="33" borderId="0" xfId="0" applyNumberFormat="1" applyFont="1" applyFill="1" applyBorder="1" applyAlignment="1">
      <alignment/>
    </xf>
    <xf numFmtId="164" fontId="69" fillId="33" borderId="0" xfId="0" applyNumberFormat="1" applyFont="1" applyFill="1" applyBorder="1" applyAlignment="1">
      <alignment/>
    </xf>
    <xf numFmtId="0" fontId="69" fillId="33" borderId="32" xfId="0" applyFont="1" applyFill="1" applyBorder="1" applyAlignment="1">
      <alignment horizontal="right"/>
    </xf>
    <xf numFmtId="0" fontId="69" fillId="33" borderId="0" xfId="0" applyFont="1" applyFill="1" applyBorder="1" applyAlignment="1">
      <alignment horizontal="right"/>
    </xf>
    <xf numFmtId="0" fontId="69" fillId="33" borderId="10" xfId="0" applyFont="1" applyFill="1" applyBorder="1" applyAlignment="1">
      <alignment horizontal="right"/>
    </xf>
    <xf numFmtId="164" fontId="69" fillId="33" borderId="0" xfId="44" applyNumberFormat="1" applyFont="1" applyFill="1" applyBorder="1" applyAlignment="1">
      <alignment horizontal="right"/>
    </xf>
    <xf numFmtId="0" fontId="69" fillId="33" borderId="32" xfId="0" applyFont="1" applyFill="1" applyBorder="1" applyAlignment="1">
      <alignment horizontal="center"/>
    </xf>
    <xf numFmtId="0" fontId="0" fillId="0" borderId="0" xfId="0" applyFont="1" applyAlignment="1">
      <alignment/>
    </xf>
    <xf numFmtId="0" fontId="5" fillId="0" borderId="0" xfId="0" applyFont="1" applyAlignment="1">
      <alignment/>
    </xf>
    <xf numFmtId="0" fontId="26" fillId="33" borderId="0" xfId="0" applyFont="1" applyFill="1" applyBorder="1" applyAlignment="1">
      <alignment/>
    </xf>
    <xf numFmtId="0" fontId="71" fillId="33" borderId="0" xfId="0" applyFont="1" applyFill="1" applyBorder="1" applyAlignment="1">
      <alignment/>
    </xf>
    <xf numFmtId="0" fontId="18" fillId="33" borderId="10" xfId="52" applyFont="1" applyFill="1" applyBorder="1" applyAlignment="1" applyProtection="1">
      <alignment/>
      <protection/>
    </xf>
    <xf numFmtId="0" fontId="3" fillId="33" borderId="10" xfId="0" applyFont="1" applyFill="1" applyBorder="1" applyAlignment="1">
      <alignment/>
    </xf>
    <xf numFmtId="0" fontId="71" fillId="33" borderId="10" xfId="0" applyFont="1" applyFill="1" applyBorder="1" applyAlignment="1">
      <alignment/>
    </xf>
    <xf numFmtId="0" fontId="26" fillId="33" borderId="21" xfId="0" applyFont="1" applyFill="1" applyBorder="1" applyAlignment="1">
      <alignment/>
    </xf>
    <xf numFmtId="0" fontId="26" fillId="33" borderId="22" xfId="0" applyFont="1" applyFill="1" applyBorder="1" applyAlignment="1">
      <alignment/>
    </xf>
    <xf numFmtId="0" fontId="26" fillId="33" borderId="23" xfId="0" applyFont="1" applyFill="1" applyBorder="1" applyAlignment="1">
      <alignment/>
    </xf>
    <xf numFmtId="0" fontId="26" fillId="33" borderId="14" xfId="0" applyFont="1" applyFill="1" applyBorder="1" applyAlignment="1">
      <alignment/>
    </xf>
    <xf numFmtId="0" fontId="26" fillId="33" borderId="15" xfId="0" applyFont="1" applyFill="1" applyBorder="1" applyAlignment="1">
      <alignment/>
    </xf>
    <xf numFmtId="0" fontId="71" fillId="33" borderId="15" xfId="0" applyFont="1" applyFill="1" applyBorder="1" applyAlignment="1">
      <alignment/>
    </xf>
    <xf numFmtId="0" fontId="3" fillId="33" borderId="16" xfId="0" applyFont="1" applyFill="1" applyBorder="1" applyAlignment="1">
      <alignment/>
    </xf>
    <xf numFmtId="0" fontId="71" fillId="33" borderId="17" xfId="0" applyFont="1" applyFill="1" applyBorder="1" applyAlignment="1">
      <alignment/>
    </xf>
    <xf numFmtId="0" fontId="0" fillId="38" borderId="14" xfId="0" applyFill="1" applyBorder="1" applyAlignment="1">
      <alignment/>
    </xf>
    <xf numFmtId="0" fontId="0" fillId="38" borderId="0" xfId="0" applyFill="1" applyBorder="1" applyAlignment="1">
      <alignment/>
    </xf>
    <xf numFmtId="0" fontId="0" fillId="38" borderId="15" xfId="0" applyFill="1" applyBorder="1" applyAlignment="1">
      <alignment/>
    </xf>
    <xf numFmtId="0" fontId="27" fillId="38" borderId="14" xfId="0" applyFont="1" applyFill="1" applyBorder="1" applyAlignment="1">
      <alignment/>
    </xf>
    <xf numFmtId="0" fontId="1" fillId="38" borderId="28" xfId="0" applyFont="1" applyFill="1" applyBorder="1" applyAlignment="1">
      <alignment/>
    </xf>
    <xf numFmtId="0" fontId="0" fillId="38" borderId="38" xfId="0" applyFill="1" applyBorder="1" applyAlignment="1">
      <alignment/>
    </xf>
    <xf numFmtId="0" fontId="0" fillId="38" borderId="30" xfId="0" applyFill="1" applyBorder="1" applyAlignment="1">
      <alignment/>
    </xf>
    <xf numFmtId="0" fontId="1" fillId="38" borderId="34" xfId="0" applyFont="1" applyFill="1" applyBorder="1" applyAlignment="1">
      <alignment/>
    </xf>
    <xf numFmtId="0" fontId="0" fillId="38" borderId="32" xfId="0" applyFill="1" applyBorder="1" applyAlignment="1">
      <alignment/>
    </xf>
    <xf numFmtId="0" fontId="1" fillId="38" borderId="32" xfId="0" applyFont="1" applyFill="1" applyBorder="1" applyAlignment="1">
      <alignment/>
    </xf>
    <xf numFmtId="0" fontId="0" fillId="38" borderId="33" xfId="0" applyFill="1" applyBorder="1" applyAlignment="1">
      <alignment/>
    </xf>
    <xf numFmtId="0" fontId="1" fillId="38" borderId="14" xfId="0" applyFont="1" applyFill="1" applyBorder="1" applyAlignment="1">
      <alignment/>
    </xf>
    <xf numFmtId="0" fontId="1" fillId="38" borderId="0" xfId="0" applyFont="1" applyFill="1" applyBorder="1" applyAlignment="1">
      <alignment/>
    </xf>
    <xf numFmtId="0" fontId="1" fillId="38" borderId="16" xfId="0" applyFont="1" applyFill="1" applyBorder="1" applyAlignment="1">
      <alignment/>
    </xf>
    <xf numFmtId="0" fontId="0" fillId="38" borderId="10" xfId="0" applyFill="1" applyBorder="1" applyAlignment="1">
      <alignment/>
    </xf>
    <xf numFmtId="0" fontId="1" fillId="38" borderId="10" xfId="0" applyFont="1" applyFill="1" applyBorder="1" applyAlignment="1">
      <alignment/>
    </xf>
    <xf numFmtId="0" fontId="0" fillId="38" borderId="17" xfId="0" applyFill="1" applyBorder="1" applyAlignment="1">
      <alignment/>
    </xf>
    <xf numFmtId="0" fontId="28" fillId="38" borderId="14" xfId="0" applyFont="1" applyFill="1" applyBorder="1" applyAlignment="1">
      <alignment/>
    </xf>
    <xf numFmtId="170" fontId="1" fillId="38" borderId="45" xfId="42" applyNumberFormat="1" applyFont="1" applyFill="1" applyBorder="1" applyAlignment="1">
      <alignment/>
    </xf>
    <xf numFmtId="170" fontId="1" fillId="38" borderId="46" xfId="42" applyNumberFormat="1" applyFont="1" applyFill="1" applyBorder="1" applyAlignment="1">
      <alignment/>
    </xf>
    <xf numFmtId="0" fontId="1" fillId="38" borderId="47" xfId="0" applyFont="1" applyFill="1" applyBorder="1" applyAlignment="1">
      <alignment/>
    </xf>
    <xf numFmtId="0" fontId="72" fillId="38" borderId="45" xfId="0" applyFont="1" applyFill="1" applyBorder="1" applyAlignment="1">
      <alignment/>
    </xf>
    <xf numFmtId="0" fontId="72" fillId="38" borderId="46" xfId="0" applyFont="1" applyFill="1" applyBorder="1" applyAlignment="1">
      <alignment/>
    </xf>
    <xf numFmtId="0" fontId="72" fillId="38" borderId="47" xfId="0" applyFont="1" applyFill="1" applyBorder="1" applyAlignment="1">
      <alignment/>
    </xf>
    <xf numFmtId="0" fontId="72" fillId="38" borderId="0" xfId="0" applyFont="1" applyFill="1" applyBorder="1" applyAlignment="1">
      <alignment/>
    </xf>
    <xf numFmtId="171" fontId="72" fillId="38" borderId="45" xfId="58" applyNumberFormat="1" applyFont="1" applyFill="1" applyBorder="1" applyAlignment="1">
      <alignment/>
    </xf>
    <xf numFmtId="0" fontId="0" fillId="38" borderId="14" xfId="0" applyFont="1" applyFill="1" applyBorder="1" applyAlignment="1">
      <alignment/>
    </xf>
    <xf numFmtId="0" fontId="1" fillId="36" borderId="24" xfId="0" applyFont="1" applyFill="1" applyBorder="1" applyAlignment="1">
      <alignment/>
    </xf>
    <xf numFmtId="0" fontId="1" fillId="36" borderId="25" xfId="0" applyFont="1" applyFill="1" applyBorder="1" applyAlignment="1">
      <alignment/>
    </xf>
    <xf numFmtId="0" fontId="1" fillId="36" borderId="48" xfId="0" applyFont="1" applyFill="1" applyBorder="1" applyAlignment="1">
      <alignment/>
    </xf>
    <xf numFmtId="0" fontId="0" fillId="36" borderId="25" xfId="0" applyFill="1" applyBorder="1" applyAlignment="1">
      <alignment/>
    </xf>
    <xf numFmtId="0" fontId="0" fillId="36" borderId="26" xfId="0" applyFill="1" applyBorder="1" applyAlignment="1">
      <alignment/>
    </xf>
    <xf numFmtId="0" fontId="1" fillId="38" borderId="33" xfId="0" applyFont="1" applyFill="1" applyBorder="1" applyAlignment="1">
      <alignment/>
    </xf>
    <xf numFmtId="0" fontId="1" fillId="38" borderId="17" xfId="0" applyFont="1" applyFill="1" applyBorder="1" applyAlignment="1">
      <alignment/>
    </xf>
    <xf numFmtId="0" fontId="25" fillId="33" borderId="0" xfId="0" applyFont="1" applyFill="1" applyAlignment="1">
      <alignment horizontal="center"/>
    </xf>
    <xf numFmtId="0" fontId="73" fillId="33" borderId="0" xfId="0" applyFont="1" applyFill="1" applyAlignment="1">
      <alignment horizontal="center"/>
    </xf>
    <xf numFmtId="0" fontId="73" fillId="33" borderId="19" xfId="0" applyFont="1" applyFill="1" applyBorder="1" applyAlignment="1">
      <alignment horizontal="center"/>
    </xf>
    <xf numFmtId="0" fontId="1" fillId="34" borderId="16" xfId="0" applyFont="1" applyFill="1" applyBorder="1" applyAlignment="1">
      <alignment horizontal="left"/>
    </xf>
    <xf numFmtId="0" fontId="1" fillId="34" borderId="10" xfId="0" applyFont="1" applyFill="1" applyBorder="1" applyAlignment="1">
      <alignment horizontal="left"/>
    </xf>
    <xf numFmtId="0" fontId="73" fillId="33" borderId="21" xfId="0" applyFont="1" applyFill="1" applyBorder="1" applyAlignment="1">
      <alignment horizontal="center"/>
    </xf>
    <xf numFmtId="0" fontId="73" fillId="33" borderId="22" xfId="0" applyFont="1" applyFill="1" applyBorder="1" applyAlignment="1">
      <alignment horizontal="center"/>
    </xf>
    <xf numFmtId="0" fontId="73" fillId="33" borderId="23" xfId="0" applyFont="1" applyFill="1" applyBorder="1" applyAlignment="1">
      <alignment horizontal="center"/>
    </xf>
    <xf numFmtId="0" fontId="1" fillId="34" borderId="34" xfId="0" applyFont="1" applyFill="1" applyBorder="1" applyAlignment="1">
      <alignment horizontal="left"/>
    </xf>
    <xf numFmtId="0" fontId="1" fillId="34" borderId="32" xfId="0" applyFont="1" applyFill="1" applyBorder="1" applyAlignment="1">
      <alignment horizontal="left"/>
    </xf>
    <xf numFmtId="0" fontId="1" fillId="34" borderId="14" xfId="0" applyFont="1" applyFill="1" applyBorder="1" applyAlignment="1">
      <alignment horizontal="left"/>
    </xf>
    <xf numFmtId="0" fontId="1" fillId="34" borderId="0" xfId="0" applyFont="1" applyFill="1" applyBorder="1" applyAlignment="1">
      <alignment horizontal="left"/>
    </xf>
    <xf numFmtId="0" fontId="1" fillId="34" borderId="18" xfId="0" applyFont="1" applyFill="1" applyBorder="1" applyAlignment="1">
      <alignment horizontal="left"/>
    </xf>
    <xf numFmtId="0" fontId="1" fillId="34" borderId="19" xfId="0" applyFont="1" applyFill="1" applyBorder="1" applyAlignment="1">
      <alignment horizontal="left"/>
    </xf>
    <xf numFmtId="0" fontId="0" fillId="33" borderId="10" xfId="0" applyFill="1" applyBorder="1" applyAlignment="1">
      <alignment horizontal="center"/>
    </xf>
    <xf numFmtId="0" fontId="1" fillId="33" borderId="32" xfId="0" applyFont="1" applyFill="1" applyBorder="1" applyAlignment="1">
      <alignment horizontal="center"/>
    </xf>
    <xf numFmtId="0" fontId="0" fillId="33" borderId="0" xfId="0" applyFill="1" applyBorder="1" applyAlignment="1">
      <alignment horizontal="center"/>
    </xf>
    <xf numFmtId="0" fontId="24" fillId="33"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249"/>
  <sheetViews>
    <sheetView tabSelected="1" zoomScalePageLayoutView="0" workbookViewId="0" topLeftCell="A1">
      <selection activeCell="B8" sqref="B8"/>
    </sheetView>
  </sheetViews>
  <sheetFormatPr defaultColWidth="9.140625" defaultRowHeight="12.75"/>
  <cols>
    <col min="5" max="5" width="47.00390625" style="0" customWidth="1"/>
    <col min="6" max="6" width="26.421875" style="0" customWidth="1"/>
    <col min="19" max="19" width="10.8515625" style="0" customWidth="1"/>
  </cols>
  <sheetData>
    <row r="1" spans="1:6" ht="32.25" thickBot="1">
      <c r="A1" s="266" t="s">
        <v>150</v>
      </c>
      <c r="B1" s="266"/>
      <c r="C1" s="266"/>
      <c r="D1" s="266"/>
      <c r="E1" s="266"/>
      <c r="F1" s="266"/>
    </row>
    <row r="2" spans="1:6" ht="12.75">
      <c r="A2" s="26" t="s">
        <v>28</v>
      </c>
      <c r="B2" s="27"/>
      <c r="C2" s="27"/>
      <c r="D2" s="27"/>
      <c r="E2" s="27"/>
      <c r="F2" s="28"/>
    </row>
    <row r="3" spans="1:6" ht="12.75">
      <c r="A3" s="29" t="s">
        <v>30</v>
      </c>
      <c r="B3" s="30"/>
      <c r="C3" s="30"/>
      <c r="D3" s="30"/>
      <c r="E3" s="30"/>
      <c r="F3" s="31"/>
    </row>
    <row r="4" spans="1:6" ht="12.75">
      <c r="A4" s="29" t="s">
        <v>31</v>
      </c>
      <c r="B4" s="30"/>
      <c r="C4" s="30"/>
      <c r="D4" s="30"/>
      <c r="E4" s="30"/>
      <c r="F4" s="31"/>
    </row>
    <row r="5" spans="1:6" ht="12.75">
      <c r="A5" s="29"/>
      <c r="B5" s="30"/>
      <c r="C5" s="30"/>
      <c r="D5" s="30"/>
      <c r="E5" s="30"/>
      <c r="F5" s="31"/>
    </row>
    <row r="6" spans="1:6" ht="12.75">
      <c r="A6" s="32" t="s">
        <v>220</v>
      </c>
      <c r="B6" s="33"/>
      <c r="C6" s="33"/>
      <c r="D6" s="33"/>
      <c r="E6" s="33"/>
      <c r="F6" s="34"/>
    </row>
    <row r="7" spans="1:6" ht="12.75">
      <c r="A7" s="32"/>
      <c r="B7" s="33"/>
      <c r="C7" s="33"/>
      <c r="D7" s="33"/>
      <c r="E7" s="33"/>
      <c r="F7" s="34"/>
    </row>
    <row r="8" spans="1:6" ht="12.75">
      <c r="A8" s="32"/>
      <c r="B8" s="150"/>
      <c r="C8" s="33"/>
      <c r="D8" s="33"/>
      <c r="E8" s="33"/>
      <c r="F8" s="34"/>
    </row>
    <row r="9" spans="1:6" ht="13.5" thickBot="1">
      <c r="A9" s="35"/>
      <c r="B9" s="36"/>
      <c r="C9" s="36"/>
      <c r="D9" s="36"/>
      <c r="E9" s="36"/>
      <c r="F9" s="161">
        <v>41521</v>
      </c>
    </row>
    <row r="10" spans="1:6" ht="12.75">
      <c r="A10" s="29"/>
      <c r="B10" s="30"/>
      <c r="C10" s="30"/>
      <c r="D10" s="30"/>
      <c r="E10" s="30"/>
      <c r="F10" s="31"/>
    </row>
    <row r="11" spans="1:6" ht="13.5" thickBot="1">
      <c r="A11" s="8"/>
      <c r="B11" s="3"/>
      <c r="C11" s="3"/>
      <c r="D11" s="3"/>
      <c r="E11" s="3"/>
      <c r="F11" s="9"/>
    </row>
    <row r="12" spans="1:6" ht="12.75">
      <c r="A12" s="5" t="s">
        <v>0</v>
      </c>
      <c r="B12" s="6"/>
      <c r="C12" s="6"/>
      <c r="D12" s="6"/>
      <c r="E12" s="7"/>
      <c r="F12" s="13" t="s">
        <v>23</v>
      </c>
    </row>
    <row r="13" spans="1:6" ht="15">
      <c r="A13" s="8" t="s">
        <v>14</v>
      </c>
      <c r="B13" s="3"/>
      <c r="C13" s="3"/>
      <c r="D13" s="3"/>
      <c r="E13" s="9"/>
      <c r="F13" s="54">
        <v>120</v>
      </c>
    </row>
    <row r="14" spans="1:14" ht="15">
      <c r="A14" s="8" t="s">
        <v>15</v>
      </c>
      <c r="B14" s="3"/>
      <c r="C14" s="3"/>
      <c r="D14" s="3"/>
      <c r="E14" s="9"/>
      <c r="F14" s="55">
        <v>5.23</v>
      </c>
      <c r="N14" t="s">
        <v>139</v>
      </c>
    </row>
    <row r="15" spans="1:14" ht="15.75" thickBot="1">
      <c r="A15" s="8" t="s">
        <v>16</v>
      </c>
      <c r="B15" s="3"/>
      <c r="C15" s="3"/>
      <c r="D15" s="3"/>
      <c r="E15" s="9"/>
      <c r="F15" s="55">
        <v>0.326</v>
      </c>
      <c r="N15" t="s">
        <v>129</v>
      </c>
    </row>
    <row r="16" spans="1:15" ht="15">
      <c r="A16" s="8" t="s">
        <v>17</v>
      </c>
      <c r="B16" s="3"/>
      <c r="C16" s="3"/>
      <c r="D16" s="3"/>
      <c r="E16" s="9"/>
      <c r="F16" s="55">
        <v>0.175</v>
      </c>
      <c r="N16" s="129" t="s">
        <v>130</v>
      </c>
      <c r="O16" s="130"/>
    </row>
    <row r="17" spans="1:20" ht="15">
      <c r="A17" s="8" t="s">
        <v>18</v>
      </c>
      <c r="B17" s="3"/>
      <c r="C17" s="3"/>
      <c r="D17" s="3"/>
      <c r="E17" s="9"/>
      <c r="F17" s="114">
        <f>IF(F13&lt;5.1,1,F13/VLOOKUP(F13,N18:O243,2))</f>
        <v>16.666666666666668</v>
      </c>
      <c r="N17" s="131" t="s">
        <v>131</v>
      </c>
      <c r="O17" s="132" t="s">
        <v>132</v>
      </c>
      <c r="S17" s="144" t="s">
        <v>152</v>
      </c>
      <c r="T17" s="144"/>
    </row>
    <row r="18" spans="1:20" ht="15">
      <c r="A18" s="8" t="s">
        <v>125</v>
      </c>
      <c r="B18" s="3"/>
      <c r="C18" s="3"/>
      <c r="D18" s="3"/>
      <c r="E18" s="9"/>
      <c r="F18" s="55">
        <v>100</v>
      </c>
      <c r="N18" s="133">
        <v>0</v>
      </c>
      <c r="O18" s="151">
        <v>1</v>
      </c>
      <c r="S18" s="144" t="s">
        <v>131</v>
      </c>
      <c r="T18" s="144">
        <f>+F13</f>
        <v>120</v>
      </c>
    </row>
    <row r="19" spans="1:20" ht="15">
      <c r="A19" s="8" t="s">
        <v>137</v>
      </c>
      <c r="B19" s="3"/>
      <c r="C19" s="3"/>
      <c r="D19" s="3"/>
      <c r="E19" s="9"/>
      <c r="F19" s="55">
        <v>35</v>
      </c>
      <c r="N19" s="133">
        <v>1</v>
      </c>
      <c r="O19" s="151">
        <v>1</v>
      </c>
      <c r="S19" s="144" t="s">
        <v>153</v>
      </c>
      <c r="T19" s="145">
        <f>+F14</f>
        <v>5.23</v>
      </c>
    </row>
    <row r="20" spans="1:20" ht="15">
      <c r="A20" s="8" t="s">
        <v>12</v>
      </c>
      <c r="B20" s="3"/>
      <c r="C20" s="3"/>
      <c r="D20" s="3"/>
      <c r="E20" s="9"/>
      <c r="F20" s="55">
        <v>5.45</v>
      </c>
      <c r="N20" s="133">
        <v>2</v>
      </c>
      <c r="O20" s="151">
        <v>1</v>
      </c>
      <c r="S20" s="144" t="s">
        <v>154</v>
      </c>
      <c r="T20" s="144">
        <f>IF(T19&lt;2.5,7.5*T19,8*T19)</f>
        <v>41.84</v>
      </c>
    </row>
    <row r="21" spans="1:20" ht="15">
      <c r="A21" s="8" t="s">
        <v>13</v>
      </c>
      <c r="B21" s="3"/>
      <c r="C21" s="3"/>
      <c r="D21" s="3"/>
      <c r="E21" s="9"/>
      <c r="F21" s="55">
        <v>2.73</v>
      </c>
      <c r="N21" s="133">
        <v>3</v>
      </c>
      <c r="O21" s="151">
        <v>1</v>
      </c>
      <c r="S21" s="144" t="s">
        <v>155</v>
      </c>
      <c r="T21" s="144">
        <f>IF(T19&gt;3,9.5*T19,8*T19)</f>
        <v>49.685</v>
      </c>
    </row>
    <row r="22" spans="1:15" ht="15">
      <c r="A22" s="8" t="s">
        <v>6</v>
      </c>
      <c r="B22" s="3"/>
      <c r="C22" s="3"/>
      <c r="D22" s="3"/>
      <c r="E22" s="9"/>
      <c r="F22" s="56">
        <v>0.35</v>
      </c>
      <c r="N22" s="133">
        <v>4</v>
      </c>
      <c r="O22" s="151">
        <v>1</v>
      </c>
    </row>
    <row r="23" spans="1:15" ht="15">
      <c r="A23" s="8" t="s">
        <v>22</v>
      </c>
      <c r="B23" s="3"/>
      <c r="C23" s="3"/>
      <c r="D23" s="3"/>
      <c r="E23" s="9"/>
      <c r="F23" s="56">
        <v>0.1</v>
      </c>
      <c r="N23" s="133">
        <v>5</v>
      </c>
      <c r="O23" s="151">
        <v>1</v>
      </c>
    </row>
    <row r="24" spans="1:15" ht="15">
      <c r="A24" s="8" t="s">
        <v>4</v>
      </c>
      <c r="B24" s="3"/>
      <c r="C24" s="3"/>
      <c r="D24" s="3"/>
      <c r="E24" s="9"/>
      <c r="F24" s="54">
        <v>1</v>
      </c>
      <c r="N24" s="133">
        <v>6</v>
      </c>
      <c r="O24" s="151">
        <v>2.848029738149161</v>
      </c>
    </row>
    <row r="25" spans="1:15" ht="12.75">
      <c r="A25" s="8"/>
      <c r="B25" s="3"/>
      <c r="C25" s="3"/>
      <c r="D25" s="3"/>
      <c r="E25" s="9"/>
      <c r="F25" s="9"/>
      <c r="N25" s="133">
        <v>7</v>
      </c>
      <c r="O25" s="151">
        <v>3.0704537540719117</v>
      </c>
    </row>
    <row r="26" spans="1:15" ht="12.75">
      <c r="A26" s="10" t="s">
        <v>1</v>
      </c>
      <c r="B26" s="2"/>
      <c r="C26" s="2"/>
      <c r="D26" s="2"/>
      <c r="E26" s="11"/>
      <c r="F26" s="11"/>
      <c r="N26" s="133">
        <v>8</v>
      </c>
      <c r="O26" s="151">
        <v>3.263126200489835</v>
      </c>
    </row>
    <row r="27" spans="1:15" ht="12.75">
      <c r="A27" s="8" t="s">
        <v>2</v>
      </c>
      <c r="B27" s="3"/>
      <c r="C27" s="3"/>
      <c r="D27" s="3"/>
      <c r="E27" s="9"/>
      <c r="F27" s="127">
        <f>IF(F13&lt;20,F13*(F14*0.845)*F24,F13*F14*F24)</f>
        <v>627.6</v>
      </c>
      <c r="N27" s="133">
        <v>9</v>
      </c>
      <c r="O27" s="151">
        <v>3.4330753426384315</v>
      </c>
    </row>
    <row r="28" spans="1:15" ht="12.75">
      <c r="A28" s="8" t="s">
        <v>67</v>
      </c>
      <c r="B28" s="3"/>
      <c r="C28" s="3"/>
      <c r="D28" s="3"/>
      <c r="E28" s="9"/>
      <c r="F28" s="135">
        <f>F13*F15*F24</f>
        <v>39.120000000000005</v>
      </c>
      <c r="N28" s="133">
        <v>10</v>
      </c>
      <c r="O28" s="151">
        <v>3.585100030681109</v>
      </c>
    </row>
    <row r="29" spans="1:15" ht="12.75">
      <c r="A29" s="8" t="s">
        <v>68</v>
      </c>
      <c r="B29" s="3"/>
      <c r="C29" s="3"/>
      <c r="D29" s="3"/>
      <c r="E29" s="9"/>
      <c r="F29" s="135">
        <f>F13*F16*F24</f>
        <v>21</v>
      </c>
      <c r="N29" s="133">
        <v>11</v>
      </c>
      <c r="O29" s="151">
        <v>3.7226230891207694</v>
      </c>
    </row>
    <row r="30" spans="1:15" ht="12.75">
      <c r="A30" s="8" t="s">
        <v>27</v>
      </c>
      <c r="B30" s="3"/>
      <c r="C30" s="3"/>
      <c r="D30" s="3"/>
      <c r="E30" s="9"/>
      <c r="F30" s="127">
        <f>F27-F28-F29</f>
        <v>567.48</v>
      </c>
      <c r="N30" s="133">
        <v>12</v>
      </c>
      <c r="O30" s="151">
        <v>3.848171804979106</v>
      </c>
    </row>
    <row r="31" spans="1:15" ht="12.75">
      <c r="A31" s="8" t="s">
        <v>5</v>
      </c>
      <c r="B31" s="3"/>
      <c r="C31" s="3"/>
      <c r="D31" s="3"/>
      <c r="E31" s="9"/>
      <c r="F31" s="142">
        <f>+F17</f>
        <v>16.666666666666668</v>
      </c>
      <c r="N31" s="133">
        <v>13</v>
      </c>
      <c r="O31" s="151">
        <v>3.9636654278812515</v>
      </c>
    </row>
    <row r="32" spans="1:15" ht="12.75">
      <c r="A32" s="8" t="s">
        <v>7</v>
      </c>
      <c r="B32" s="3"/>
      <c r="C32" s="3"/>
      <c r="D32" s="3"/>
      <c r="E32" s="9"/>
      <c r="F32" s="136">
        <f>(F31*F22)*F24</f>
        <v>5.833333333333333</v>
      </c>
      <c r="N32" s="133">
        <v>14</v>
      </c>
      <c r="O32" s="151">
        <v>4.070595820901857</v>
      </c>
    </row>
    <row r="33" spans="1:15" ht="12.75">
      <c r="A33" s="8" t="s">
        <v>8</v>
      </c>
      <c r="B33" s="3"/>
      <c r="C33" s="3"/>
      <c r="D33" s="3"/>
      <c r="E33" s="9"/>
      <c r="F33" s="137">
        <f>((F32/0.9)*2000)</f>
        <v>12962.962962962962</v>
      </c>
      <c r="N33" s="133">
        <v>15</v>
      </c>
      <c r="O33" s="151">
        <v>4.170145635170379</v>
      </c>
    </row>
    <row r="34" spans="1:15" ht="12.75">
      <c r="A34" s="8" t="s">
        <v>9</v>
      </c>
      <c r="B34" s="3"/>
      <c r="C34" s="3"/>
      <c r="D34" s="3"/>
      <c r="E34" s="9"/>
      <c r="F34" s="137">
        <f>(F13*72)*F24</f>
        <v>8640</v>
      </c>
      <c r="N34" s="133">
        <v>16</v>
      </c>
      <c r="O34" s="151">
        <v>4.26326826731978</v>
      </c>
    </row>
    <row r="35" spans="1:15" ht="12.75">
      <c r="A35" s="8" t="s">
        <v>10</v>
      </c>
      <c r="B35" s="3"/>
      <c r="C35" s="3"/>
      <c r="D35" s="3"/>
      <c r="E35" s="9"/>
      <c r="F35" s="137">
        <f>F33-F34</f>
        <v>4322.962962962962</v>
      </c>
      <c r="N35" s="133">
        <v>17</v>
      </c>
      <c r="O35" s="151">
        <v>4.350743534138714</v>
      </c>
    </row>
    <row r="36" spans="1:15" ht="12.75">
      <c r="A36" s="8" t="s">
        <v>11</v>
      </c>
      <c r="B36" s="3"/>
      <c r="C36" s="3"/>
      <c r="D36" s="3"/>
      <c r="E36" s="9"/>
      <c r="F36" s="127">
        <f>F35*((F18-F19)/2000)</f>
        <v>140.49629629629626</v>
      </c>
      <c r="N36" s="133">
        <v>18</v>
      </c>
      <c r="O36" s="151">
        <v>4.433217409468376</v>
      </c>
    </row>
    <row r="37" spans="1:15" ht="12.75">
      <c r="A37" s="78" t="s">
        <v>71</v>
      </c>
      <c r="B37" s="63"/>
      <c r="C37" s="63"/>
      <c r="D37" s="63"/>
      <c r="E37" s="64"/>
      <c r="F37" s="120">
        <f>IF(F13&lt;20.1,(F30+F36)/F24*0.85,(F30+F36)/F24)</f>
        <v>707.9762962962963</v>
      </c>
      <c r="N37" s="133">
        <v>19</v>
      </c>
      <c r="O37" s="151">
        <v>4.511231003039256</v>
      </c>
    </row>
    <row r="38" spans="1:15" ht="12.75">
      <c r="A38" s="10" t="s">
        <v>72</v>
      </c>
      <c r="B38" s="65"/>
      <c r="C38" s="65"/>
      <c r="D38" s="65"/>
      <c r="E38" s="66"/>
      <c r="F38" s="121">
        <f>F37/F31</f>
        <v>42.47857777777777</v>
      </c>
      <c r="N38" s="133">
        <v>20</v>
      </c>
      <c r="O38" s="151">
        <v>4.5852420975110535</v>
      </c>
    </row>
    <row r="39" spans="1:15" ht="12.75">
      <c r="A39" s="70" t="s">
        <v>19</v>
      </c>
      <c r="B39" s="71"/>
      <c r="C39" s="71"/>
      <c r="D39" s="71"/>
      <c r="E39" s="72"/>
      <c r="F39" s="124">
        <f>(F31*F20)</f>
        <v>90.83333333333334</v>
      </c>
      <c r="N39" s="133">
        <v>21</v>
      </c>
      <c r="O39" s="151">
        <v>4.655641425391127</v>
      </c>
    </row>
    <row r="40" spans="1:15" ht="12.75">
      <c r="A40" s="59" t="s">
        <v>20</v>
      </c>
      <c r="B40" s="60"/>
      <c r="C40" s="60"/>
      <c r="D40" s="60"/>
      <c r="E40" s="61"/>
      <c r="F40" s="125">
        <f>(F31*F21)</f>
        <v>45.5</v>
      </c>
      <c r="N40" s="133">
        <v>22</v>
      </c>
      <c r="O40" s="151">
        <v>4.722765155950714</v>
      </c>
    </row>
    <row r="41" spans="1:15" ht="12.75">
      <c r="A41" s="74" t="s">
        <v>21</v>
      </c>
      <c r="B41" s="75"/>
      <c r="C41" s="75"/>
      <c r="D41" s="75"/>
      <c r="E41" s="76"/>
      <c r="F41" s="126">
        <f>F38*F23</f>
        <v>4.247857777777777</v>
      </c>
      <c r="N41" s="133">
        <v>23</v>
      </c>
      <c r="O41" s="151">
        <v>4.78690460416417</v>
      </c>
    </row>
    <row r="42" spans="1:15" ht="12.75">
      <c r="A42" s="81" t="s">
        <v>69</v>
      </c>
      <c r="B42" s="4"/>
      <c r="C42" s="4"/>
      <c r="D42" s="4"/>
      <c r="E42" s="69"/>
      <c r="F42" s="127">
        <f>F37+F39+F40</f>
        <v>844.3096296296296</v>
      </c>
      <c r="N42" s="133">
        <v>24</v>
      </c>
      <c r="O42" s="151">
        <v>4.848313871809051</v>
      </c>
    </row>
    <row r="43" spans="1:17" ht="13.5" thickBot="1">
      <c r="A43" s="12" t="s">
        <v>70</v>
      </c>
      <c r="B43" s="83"/>
      <c r="C43" s="83"/>
      <c r="D43" s="83"/>
      <c r="E43" s="84"/>
      <c r="F43" s="128">
        <f>F42/F31</f>
        <v>50.65857777777777</v>
      </c>
      <c r="N43" s="133">
        <v>25</v>
      </c>
      <c r="O43" s="151">
        <v>4.907215927702326</v>
      </c>
      <c r="Q43" t="s">
        <v>156</v>
      </c>
    </row>
    <row r="44" spans="1:17" ht="12.75">
      <c r="A44" s="78" t="s">
        <v>172</v>
      </c>
      <c r="B44" s="67"/>
      <c r="C44" s="67"/>
      <c r="D44" s="67"/>
      <c r="E44" s="68"/>
      <c r="F44" s="120">
        <f>F37-F39-F40-F41</f>
        <v>567.3951051851851</v>
      </c>
      <c r="N44" s="133">
        <v>26</v>
      </c>
      <c r="O44" s="151">
        <v>4.9638074947111965</v>
      </c>
      <c r="Q44" t="s">
        <v>151</v>
      </c>
    </row>
    <row r="45" spans="1:15" ht="13.5" thickBot="1">
      <c r="A45" s="12" t="s">
        <v>173</v>
      </c>
      <c r="B45" s="83"/>
      <c r="C45" s="83"/>
      <c r="D45" s="83"/>
      <c r="E45" s="84"/>
      <c r="F45" s="128">
        <f>F44/F31</f>
        <v>34.0437063111111</v>
      </c>
      <c r="N45" s="133">
        <v>27</v>
      </c>
      <c r="O45" s="151">
        <v>5.018263013957647</v>
      </c>
    </row>
    <row r="46" spans="1:15" ht="13.5" thickBot="1">
      <c r="A46" s="1"/>
      <c r="B46" s="1"/>
      <c r="C46" s="1"/>
      <c r="D46" s="1"/>
      <c r="E46" s="1"/>
      <c r="F46" s="1"/>
      <c r="N46" s="133">
        <v>28</v>
      </c>
      <c r="O46" s="151">
        <v>5.070737887731801</v>
      </c>
    </row>
    <row r="47" spans="1:15" ht="15">
      <c r="A47" s="15" t="s">
        <v>24</v>
      </c>
      <c r="B47" s="16"/>
      <c r="C47" s="16"/>
      <c r="D47" s="16"/>
      <c r="E47" s="16"/>
      <c r="F47" s="17" t="s">
        <v>3</v>
      </c>
      <c r="N47" s="133">
        <v>29</v>
      </c>
      <c r="O47" s="151">
        <v>5.121371153087484</v>
      </c>
    </row>
    <row r="48" spans="1:15" ht="15">
      <c r="A48" s="88" t="s">
        <v>71</v>
      </c>
      <c r="B48" s="90"/>
      <c r="C48" s="90"/>
      <c r="D48" s="90"/>
      <c r="E48" s="86"/>
      <c r="F48" s="20">
        <f>+F37</f>
        <v>707.9762962962963</v>
      </c>
      <c r="N48" s="133">
        <v>30</v>
      </c>
      <c r="O48" s="151">
        <v>5.170287702000324</v>
      </c>
    </row>
    <row r="49" spans="1:15" ht="15">
      <c r="A49" s="91" t="s">
        <v>72</v>
      </c>
      <c r="B49" s="92"/>
      <c r="C49" s="92"/>
      <c r="D49" s="92"/>
      <c r="E49" s="93"/>
      <c r="F49" s="94">
        <f>+F38</f>
        <v>42.47857777777777</v>
      </c>
      <c r="N49" s="133">
        <v>31</v>
      </c>
      <c r="O49" s="151">
        <v>5.217600137351617</v>
      </c>
    </row>
    <row r="50" spans="1:15" ht="15">
      <c r="A50" s="18" t="s">
        <v>69</v>
      </c>
      <c r="B50" s="19"/>
      <c r="C50" s="19"/>
      <c r="D50" s="19"/>
      <c r="E50" s="87"/>
      <c r="F50" s="20">
        <f>F42</f>
        <v>844.3096296296296</v>
      </c>
      <c r="N50" s="133">
        <v>32</v>
      </c>
      <c r="O50" s="151">
        <v>5.263410334149725</v>
      </c>
    </row>
    <row r="51" spans="1:15" ht="15">
      <c r="A51" s="91" t="s">
        <v>70</v>
      </c>
      <c r="B51" s="92"/>
      <c r="C51" s="92"/>
      <c r="D51" s="92"/>
      <c r="E51" s="93"/>
      <c r="F51" s="94">
        <f>F43</f>
        <v>50.65857777777777</v>
      </c>
      <c r="N51" s="133">
        <v>33</v>
      </c>
      <c r="O51" s="151">
        <v>5.307810760439985</v>
      </c>
    </row>
    <row r="52" spans="1:15" ht="15">
      <c r="A52" s="18" t="s">
        <v>172</v>
      </c>
      <c r="B52" s="21"/>
      <c r="C52" s="21"/>
      <c r="D52" s="21"/>
      <c r="E52" s="159"/>
      <c r="F52" s="20">
        <f>+F44</f>
        <v>567.3951051851851</v>
      </c>
      <c r="N52" s="133">
        <v>34</v>
      </c>
      <c r="O52" s="151">
        <v>5.35088560096866</v>
      </c>
    </row>
    <row r="53" spans="1:15" ht="15.75" thickBot="1">
      <c r="A53" s="22" t="s">
        <v>173</v>
      </c>
      <c r="B53" s="23"/>
      <c r="C53" s="23"/>
      <c r="D53" s="23"/>
      <c r="E53" s="160"/>
      <c r="F53" s="24">
        <f>+F45</f>
        <v>34.0437063111111</v>
      </c>
      <c r="N53" s="133">
        <v>35</v>
      </c>
      <c r="O53" s="151">
        <v>5.392711717923075</v>
      </c>
    </row>
    <row r="54" spans="1:15" ht="12.75">
      <c r="A54" s="170" t="s">
        <v>25</v>
      </c>
      <c r="B54" s="171"/>
      <c r="C54" s="171"/>
      <c r="D54" s="171"/>
      <c r="E54" s="171"/>
      <c r="F54" s="172"/>
      <c r="N54" s="133">
        <v>36</v>
      </c>
      <c r="O54" s="151">
        <v>5.433359476298321</v>
      </c>
    </row>
    <row r="55" spans="1:15" ht="12.75">
      <c r="A55" s="173" t="s">
        <v>127</v>
      </c>
      <c r="B55" s="176"/>
      <c r="C55" s="176"/>
      <c r="D55" s="176"/>
      <c r="E55" s="176"/>
      <c r="F55" s="177"/>
      <c r="N55" s="133">
        <v>37</v>
      </c>
      <c r="O55" s="151">
        <v>5.472893456154352</v>
      </c>
    </row>
    <row r="56" spans="1:15" ht="12.75">
      <c r="A56" s="173"/>
      <c r="B56" s="176"/>
      <c r="C56" s="176"/>
      <c r="D56" s="176"/>
      <c r="E56" s="176"/>
      <c r="F56" s="177"/>
      <c r="N56" s="133">
        <v>38</v>
      </c>
      <c r="O56" s="151">
        <v>5.511373069869202</v>
      </c>
    </row>
    <row r="57" spans="1:15" ht="12.75">
      <c r="A57" s="173" t="s">
        <v>128</v>
      </c>
      <c r="B57" s="174"/>
      <c r="C57" s="174"/>
      <c r="D57" s="174"/>
      <c r="E57" s="174"/>
      <c r="F57" s="175"/>
      <c r="N57" s="133">
        <v>39</v>
      </c>
      <c r="O57" s="151">
        <v>5.548853099200467</v>
      </c>
    </row>
    <row r="58" spans="1:15" ht="12.75">
      <c r="A58" s="173" t="s">
        <v>88</v>
      </c>
      <c r="B58" s="174"/>
      <c r="C58" s="174"/>
      <c r="D58" s="174"/>
      <c r="E58" s="174"/>
      <c r="F58" s="175"/>
      <c r="N58" s="133">
        <v>40</v>
      </c>
      <c r="O58" s="151">
        <v>5.585384164340999</v>
      </c>
    </row>
    <row r="59" spans="1:15" ht="12.75">
      <c r="A59" s="173" t="s">
        <v>65</v>
      </c>
      <c r="B59" s="174"/>
      <c r="C59" s="174"/>
      <c r="D59" s="174"/>
      <c r="E59" s="174"/>
      <c r="F59" s="175"/>
      <c r="N59" s="133">
        <v>41</v>
      </c>
      <c r="O59" s="151">
        <v>5.6210131350476455</v>
      </c>
    </row>
    <row r="60" spans="1:15" ht="12.75">
      <c r="A60" s="173" t="s">
        <v>62</v>
      </c>
      <c r="B60" s="174"/>
      <c r="C60" s="174"/>
      <c r="D60" s="174"/>
      <c r="E60" s="174"/>
      <c r="F60" s="175"/>
      <c r="N60" s="133">
        <v>42</v>
      </c>
      <c r="O60" s="151">
        <v>5.655783492221072</v>
      </c>
    </row>
    <row r="61" spans="1:15" ht="12.75">
      <c r="A61" s="173"/>
      <c r="B61" s="174"/>
      <c r="C61" s="174"/>
      <c r="D61" s="174"/>
      <c r="E61" s="174"/>
      <c r="F61" s="175"/>
      <c r="N61" s="133">
        <v>43</v>
      </c>
      <c r="O61" s="151">
        <v>5.689735646934241</v>
      </c>
    </row>
    <row r="62" spans="1:15" ht="12.75">
      <c r="A62" s="173" t="s">
        <v>133</v>
      </c>
      <c r="B62" s="174"/>
      <c r="C62" s="174"/>
      <c r="D62" s="174"/>
      <c r="E62" s="174"/>
      <c r="F62" s="175"/>
      <c r="N62" s="133">
        <v>44</v>
      </c>
      <c r="O62" s="151">
        <v>5.722907222780659</v>
      </c>
    </row>
    <row r="63" spans="1:15" ht="12.75">
      <c r="A63" s="173" t="s">
        <v>134</v>
      </c>
      <c r="B63" s="174"/>
      <c r="C63" s="174"/>
      <c r="D63" s="174"/>
      <c r="E63" s="174"/>
      <c r="F63" s="175"/>
      <c r="N63" s="133">
        <v>45</v>
      </c>
      <c r="O63" s="151">
        <v>5.755333306489594</v>
      </c>
    </row>
    <row r="64" spans="1:15" ht="12.75">
      <c r="A64" s="173"/>
      <c r="B64" s="174"/>
      <c r="C64" s="174"/>
      <c r="D64" s="174"/>
      <c r="E64" s="174"/>
      <c r="F64" s="175"/>
      <c r="N64" s="133">
        <v>46</v>
      </c>
      <c r="O64" s="151">
        <v>5.7870466709941155</v>
      </c>
    </row>
    <row r="65" spans="1:15" ht="12.75">
      <c r="A65" s="173" t="s">
        <v>135</v>
      </c>
      <c r="B65" s="174"/>
      <c r="C65" s="174"/>
      <c r="D65" s="174"/>
      <c r="E65" s="174"/>
      <c r="F65" s="175"/>
      <c r="N65" s="133">
        <v>47</v>
      </c>
      <c r="O65" s="151">
        <v>5.818077974507443</v>
      </c>
    </row>
    <row r="66" spans="1:15" ht="12.75">
      <c r="A66" s="173" t="s">
        <v>88</v>
      </c>
      <c r="B66" s="174"/>
      <c r="C66" s="174"/>
      <c r="D66" s="174"/>
      <c r="E66" s="174"/>
      <c r="F66" s="175"/>
      <c r="N66" s="133">
        <v>48</v>
      </c>
      <c r="O66" s="151">
        <v>5.848455938638996</v>
      </c>
    </row>
    <row r="67" spans="1:15" ht="12.75">
      <c r="A67" s="173" t="s">
        <v>126</v>
      </c>
      <c r="B67" s="174"/>
      <c r="C67" s="174"/>
      <c r="D67" s="174"/>
      <c r="E67" s="174"/>
      <c r="F67" s="175"/>
      <c r="N67" s="133">
        <v>49</v>
      </c>
      <c r="O67" s="151">
        <v>5.878207508143823</v>
      </c>
    </row>
    <row r="68" spans="1:15" ht="12.75">
      <c r="A68" s="173"/>
      <c r="B68" s="176"/>
      <c r="C68" s="176"/>
      <c r="D68" s="176"/>
      <c r="E68" s="176"/>
      <c r="F68" s="177"/>
      <c r="N68" s="133">
        <v>50</v>
      </c>
      <c r="O68" s="134">
        <v>5.9</v>
      </c>
    </row>
    <row r="69" spans="1:15" ht="12.75">
      <c r="A69" s="181" t="s">
        <v>66</v>
      </c>
      <c r="B69" s="176"/>
      <c r="C69" s="176"/>
      <c r="D69" s="176"/>
      <c r="E69" s="176"/>
      <c r="F69" s="177"/>
      <c r="N69" s="133">
        <v>51</v>
      </c>
      <c r="O69" s="134">
        <v>5.9</v>
      </c>
    </row>
    <row r="70" spans="1:15" ht="12.75">
      <c r="A70" s="181" t="s">
        <v>148</v>
      </c>
      <c r="B70" s="176"/>
      <c r="C70" s="176"/>
      <c r="D70" s="176"/>
      <c r="E70" s="176"/>
      <c r="F70" s="177"/>
      <c r="N70" s="133">
        <v>52</v>
      </c>
      <c r="O70" s="134">
        <v>5.9</v>
      </c>
    </row>
    <row r="71" spans="1:15" ht="13.5" thickBot="1">
      <c r="A71" s="178"/>
      <c r="B71" s="179"/>
      <c r="C71" s="179"/>
      <c r="D71" s="179"/>
      <c r="E71" s="179"/>
      <c r="F71" s="180"/>
      <c r="N71" s="133">
        <v>53</v>
      </c>
      <c r="O71" s="134">
        <v>5.9</v>
      </c>
    </row>
    <row r="72" spans="14:15" ht="12.75">
      <c r="N72" s="133">
        <v>54</v>
      </c>
      <c r="O72" s="134">
        <v>5.9</v>
      </c>
    </row>
    <row r="73" spans="14:15" ht="12.75">
      <c r="N73" s="133">
        <v>55</v>
      </c>
      <c r="O73" s="134">
        <v>5.9</v>
      </c>
    </row>
    <row r="74" spans="14:15" ht="12.75">
      <c r="N74" s="133">
        <v>56</v>
      </c>
      <c r="O74" s="134">
        <v>5.9</v>
      </c>
    </row>
    <row r="75" spans="14:15" ht="12.75">
      <c r="N75" s="133">
        <v>57</v>
      </c>
      <c r="O75" s="134">
        <v>5.9</v>
      </c>
    </row>
    <row r="76" spans="14:15" ht="12.75">
      <c r="N76" s="133">
        <v>58</v>
      </c>
      <c r="O76" s="134">
        <v>5.9</v>
      </c>
    </row>
    <row r="77" spans="14:15" ht="12.75">
      <c r="N77" s="133">
        <v>59</v>
      </c>
      <c r="O77" s="134">
        <v>5.9</v>
      </c>
    </row>
    <row r="78" spans="14:15" ht="12.75">
      <c r="N78" s="133">
        <v>60</v>
      </c>
      <c r="O78" s="134">
        <v>5.9</v>
      </c>
    </row>
    <row r="79" spans="14:15" ht="12.75">
      <c r="N79" s="133">
        <v>61</v>
      </c>
      <c r="O79" s="134">
        <v>6.2</v>
      </c>
    </row>
    <row r="80" spans="14:15" ht="12.75">
      <c r="N80" s="133">
        <v>62</v>
      </c>
      <c r="O80" s="134">
        <v>6.2</v>
      </c>
    </row>
    <row r="81" spans="14:15" ht="12.75">
      <c r="N81" s="133">
        <v>63</v>
      </c>
      <c r="O81" s="134">
        <v>6.2</v>
      </c>
    </row>
    <row r="82" spans="14:15" ht="12.75">
      <c r="N82" s="133">
        <v>64</v>
      </c>
      <c r="O82" s="134">
        <v>6.2</v>
      </c>
    </row>
    <row r="83" spans="14:15" ht="12.75">
      <c r="N83" s="133">
        <v>65</v>
      </c>
      <c r="O83" s="134">
        <v>6.2</v>
      </c>
    </row>
    <row r="84" spans="14:15" ht="12.75">
      <c r="N84" s="133">
        <v>66</v>
      </c>
      <c r="O84" s="134">
        <v>6.2</v>
      </c>
    </row>
    <row r="85" spans="14:15" ht="12.75">
      <c r="N85" s="133">
        <v>67</v>
      </c>
      <c r="O85" s="134">
        <v>6.2</v>
      </c>
    </row>
    <row r="86" spans="14:15" ht="12.75">
      <c r="N86" s="133">
        <v>68</v>
      </c>
      <c r="O86" s="134">
        <v>6.2</v>
      </c>
    </row>
    <row r="87" spans="14:15" ht="12.75">
      <c r="N87" s="133">
        <v>69</v>
      </c>
      <c r="O87" s="134">
        <v>6.2</v>
      </c>
    </row>
    <row r="88" spans="14:15" ht="12.75">
      <c r="N88" s="133">
        <v>70</v>
      </c>
      <c r="O88" s="134">
        <v>6.2</v>
      </c>
    </row>
    <row r="89" spans="14:15" ht="12.75">
      <c r="N89" s="133">
        <v>71</v>
      </c>
      <c r="O89" s="134">
        <v>6.5</v>
      </c>
    </row>
    <row r="90" spans="14:15" ht="12.75">
      <c r="N90" s="133">
        <v>72</v>
      </c>
      <c r="O90" s="134">
        <v>6.5</v>
      </c>
    </row>
    <row r="91" spans="14:15" ht="12.75">
      <c r="N91" s="133">
        <v>73</v>
      </c>
      <c r="O91" s="134">
        <v>6.5</v>
      </c>
    </row>
    <row r="92" spans="14:15" ht="12.75">
      <c r="N92" s="133">
        <v>74</v>
      </c>
      <c r="O92" s="134">
        <v>6.5</v>
      </c>
    </row>
    <row r="93" spans="14:15" ht="12.75">
      <c r="N93" s="133">
        <v>75</v>
      </c>
      <c r="O93" s="134">
        <v>6.5</v>
      </c>
    </row>
    <row r="94" spans="14:15" ht="12.75">
      <c r="N94" s="133">
        <v>76</v>
      </c>
      <c r="O94" s="134">
        <v>6.5</v>
      </c>
    </row>
    <row r="95" spans="14:15" ht="12.75">
      <c r="N95" s="133">
        <v>77</v>
      </c>
      <c r="O95" s="134">
        <v>6.5</v>
      </c>
    </row>
    <row r="96" spans="14:15" ht="12.75">
      <c r="N96" s="133">
        <v>78</v>
      </c>
      <c r="O96" s="134">
        <v>6.5</v>
      </c>
    </row>
    <row r="97" spans="14:15" ht="12.75">
      <c r="N97" s="133">
        <v>79</v>
      </c>
      <c r="O97" s="134">
        <v>6.5</v>
      </c>
    </row>
    <row r="98" spans="14:15" ht="12.75">
      <c r="N98" s="133">
        <v>80</v>
      </c>
      <c r="O98" s="134">
        <v>6.5</v>
      </c>
    </row>
    <row r="99" spans="14:15" ht="12.75">
      <c r="N99" s="133">
        <v>81</v>
      </c>
      <c r="O99" s="134">
        <v>6.8</v>
      </c>
    </row>
    <row r="100" spans="14:15" ht="12.75">
      <c r="N100" s="133">
        <v>82</v>
      </c>
      <c r="O100" s="134">
        <v>6.8</v>
      </c>
    </row>
    <row r="101" spans="14:15" ht="12.75">
      <c r="N101" s="133">
        <v>83</v>
      </c>
      <c r="O101" s="134">
        <v>6.8</v>
      </c>
    </row>
    <row r="102" spans="14:15" ht="12.75">
      <c r="N102" s="133">
        <v>84</v>
      </c>
      <c r="O102" s="134">
        <v>6.8</v>
      </c>
    </row>
    <row r="103" spans="14:15" ht="12.75">
      <c r="N103" s="133">
        <v>85</v>
      </c>
      <c r="O103" s="134">
        <v>6.8</v>
      </c>
    </row>
    <row r="104" spans="14:15" ht="12.75">
      <c r="N104" s="133">
        <v>86</v>
      </c>
      <c r="O104" s="134">
        <v>6.8</v>
      </c>
    </row>
    <row r="105" spans="14:15" ht="12.75">
      <c r="N105" s="133">
        <v>87</v>
      </c>
      <c r="O105" s="134">
        <v>6.8</v>
      </c>
    </row>
    <row r="106" spans="14:15" ht="12.75">
      <c r="N106" s="133">
        <v>88</v>
      </c>
      <c r="O106" s="134">
        <v>6.8</v>
      </c>
    </row>
    <row r="107" spans="14:15" ht="12.75">
      <c r="N107" s="133">
        <v>89</v>
      </c>
      <c r="O107" s="134">
        <v>6.8</v>
      </c>
    </row>
    <row r="108" spans="14:15" ht="12.75">
      <c r="N108" s="133">
        <v>90</v>
      </c>
      <c r="O108" s="134">
        <v>6.8</v>
      </c>
    </row>
    <row r="109" spans="14:15" ht="12.75">
      <c r="N109" s="133">
        <v>91</v>
      </c>
      <c r="O109" s="134">
        <v>7</v>
      </c>
    </row>
    <row r="110" spans="14:15" ht="12.75">
      <c r="N110" s="133">
        <v>92</v>
      </c>
      <c r="O110" s="134">
        <v>7</v>
      </c>
    </row>
    <row r="111" spans="14:15" ht="12.75">
      <c r="N111" s="133">
        <v>93</v>
      </c>
      <c r="O111" s="134">
        <v>7</v>
      </c>
    </row>
    <row r="112" spans="14:15" ht="12.75">
      <c r="N112" s="133">
        <v>94</v>
      </c>
      <c r="O112" s="134">
        <v>7</v>
      </c>
    </row>
    <row r="113" spans="14:15" ht="12.75">
      <c r="N113" s="133">
        <v>95</v>
      </c>
      <c r="O113" s="134">
        <v>7</v>
      </c>
    </row>
    <row r="114" spans="14:15" ht="12.75">
      <c r="N114" s="133">
        <v>96</v>
      </c>
      <c r="O114" s="134">
        <v>7</v>
      </c>
    </row>
    <row r="115" spans="14:15" ht="12.75">
      <c r="N115" s="133">
        <v>97</v>
      </c>
      <c r="O115" s="134">
        <v>7</v>
      </c>
    </row>
    <row r="116" spans="14:15" ht="12.75">
      <c r="N116" s="133">
        <v>98</v>
      </c>
      <c r="O116" s="134">
        <v>7</v>
      </c>
    </row>
    <row r="117" spans="14:15" ht="12.75">
      <c r="N117" s="133">
        <v>99</v>
      </c>
      <c r="O117" s="134">
        <v>7</v>
      </c>
    </row>
    <row r="118" spans="14:15" ht="12.75">
      <c r="N118" s="133">
        <v>100</v>
      </c>
      <c r="O118" s="134">
        <v>7</v>
      </c>
    </row>
    <row r="119" spans="14:15" ht="12.75">
      <c r="N119" s="133">
        <v>101</v>
      </c>
      <c r="O119" s="134">
        <v>7.1</v>
      </c>
    </row>
    <row r="120" spans="14:15" ht="12.75">
      <c r="N120" s="133">
        <v>102</v>
      </c>
      <c r="O120" s="134">
        <v>7.1</v>
      </c>
    </row>
    <row r="121" spans="14:15" ht="12.75">
      <c r="N121" s="133">
        <v>103</v>
      </c>
      <c r="O121" s="134">
        <v>7.1</v>
      </c>
    </row>
    <row r="122" spans="14:15" ht="12.75">
      <c r="N122" s="133">
        <v>104</v>
      </c>
      <c r="O122" s="134">
        <v>7.1</v>
      </c>
    </row>
    <row r="123" spans="14:15" ht="12.75">
      <c r="N123" s="133">
        <v>105</v>
      </c>
      <c r="O123" s="134">
        <v>7.1</v>
      </c>
    </row>
    <row r="124" spans="14:15" ht="12.75">
      <c r="N124" s="133">
        <v>106</v>
      </c>
      <c r="O124" s="134">
        <v>7.1</v>
      </c>
    </row>
    <row r="125" spans="14:15" ht="12.75">
      <c r="N125" s="133">
        <v>107</v>
      </c>
      <c r="O125" s="134">
        <v>7.1</v>
      </c>
    </row>
    <row r="126" spans="14:15" ht="12.75">
      <c r="N126" s="133">
        <v>108</v>
      </c>
      <c r="O126" s="134">
        <v>7.1</v>
      </c>
    </row>
    <row r="127" spans="14:15" ht="12.75">
      <c r="N127" s="133">
        <v>109</v>
      </c>
      <c r="O127" s="134">
        <v>7.1</v>
      </c>
    </row>
    <row r="128" spans="14:15" ht="12.75">
      <c r="N128" s="133">
        <v>110</v>
      </c>
      <c r="O128" s="134">
        <v>7.1</v>
      </c>
    </row>
    <row r="129" spans="14:15" ht="12.75">
      <c r="N129" s="133">
        <v>111</v>
      </c>
      <c r="O129" s="134">
        <v>7.1</v>
      </c>
    </row>
    <row r="130" spans="14:15" ht="12.75">
      <c r="N130" s="133">
        <v>112</v>
      </c>
      <c r="O130" s="134">
        <v>7.1</v>
      </c>
    </row>
    <row r="131" spans="14:15" ht="12.75">
      <c r="N131" s="133">
        <v>113</v>
      </c>
      <c r="O131" s="134">
        <v>7.1</v>
      </c>
    </row>
    <row r="132" spans="14:15" ht="12.75">
      <c r="N132" s="133">
        <v>114</v>
      </c>
      <c r="O132" s="134">
        <v>7.1</v>
      </c>
    </row>
    <row r="133" spans="14:15" ht="12.75">
      <c r="N133" s="133">
        <v>115</v>
      </c>
      <c r="O133" s="134">
        <v>7.1</v>
      </c>
    </row>
    <row r="134" spans="14:15" ht="12.75">
      <c r="N134" s="133">
        <v>116</v>
      </c>
      <c r="O134" s="134">
        <v>7.1</v>
      </c>
    </row>
    <row r="135" spans="14:15" ht="12.75">
      <c r="N135" s="133">
        <v>117</v>
      </c>
      <c r="O135" s="134">
        <v>7.1</v>
      </c>
    </row>
    <row r="136" spans="14:15" ht="12.75">
      <c r="N136" s="133">
        <v>118</v>
      </c>
      <c r="O136" s="134">
        <v>7.1</v>
      </c>
    </row>
    <row r="137" spans="14:15" ht="12.75">
      <c r="N137" s="133">
        <v>119</v>
      </c>
      <c r="O137" s="134">
        <v>7.1</v>
      </c>
    </row>
    <row r="138" spans="14:15" ht="12.75">
      <c r="N138" s="133">
        <v>120</v>
      </c>
      <c r="O138" s="134">
        <v>7.2</v>
      </c>
    </row>
    <row r="139" spans="14:15" ht="12.75">
      <c r="N139" s="133">
        <v>121</v>
      </c>
      <c r="O139" s="134">
        <v>7.2</v>
      </c>
    </row>
    <row r="140" spans="14:15" ht="12.75">
      <c r="N140" s="133">
        <v>122</v>
      </c>
      <c r="O140" s="134">
        <v>7.2</v>
      </c>
    </row>
    <row r="141" spans="14:15" ht="12.75">
      <c r="N141" s="133">
        <v>123</v>
      </c>
      <c r="O141" s="134">
        <v>7.2</v>
      </c>
    </row>
    <row r="142" spans="14:15" ht="12.75">
      <c r="N142" s="133">
        <v>124</v>
      </c>
      <c r="O142" s="134">
        <v>7.2</v>
      </c>
    </row>
    <row r="143" spans="14:15" ht="12.75">
      <c r="N143" s="133">
        <v>125</v>
      </c>
      <c r="O143" s="134">
        <v>7.2</v>
      </c>
    </row>
    <row r="144" spans="14:15" ht="12.75">
      <c r="N144" s="133">
        <v>126</v>
      </c>
      <c r="O144" s="134">
        <v>7.2</v>
      </c>
    </row>
    <row r="145" spans="14:15" ht="12.75">
      <c r="N145" s="133">
        <v>127</v>
      </c>
      <c r="O145" s="134">
        <v>7.2</v>
      </c>
    </row>
    <row r="146" spans="14:15" ht="12.75">
      <c r="N146" s="133">
        <v>128</v>
      </c>
      <c r="O146" s="134">
        <v>7.2</v>
      </c>
    </row>
    <row r="147" spans="14:15" ht="12.75">
      <c r="N147" s="133">
        <v>129</v>
      </c>
      <c r="O147" s="134">
        <v>7.2</v>
      </c>
    </row>
    <row r="148" spans="14:15" ht="12.75">
      <c r="N148" s="133">
        <v>130</v>
      </c>
      <c r="O148" s="134">
        <v>7.2</v>
      </c>
    </row>
    <row r="149" spans="14:15" ht="12.75">
      <c r="N149" s="133">
        <v>131</v>
      </c>
      <c r="O149" s="134">
        <v>7.2</v>
      </c>
    </row>
    <row r="150" spans="14:15" ht="12.75">
      <c r="N150" s="133">
        <v>132</v>
      </c>
      <c r="O150" s="134">
        <v>7.2</v>
      </c>
    </row>
    <row r="151" spans="14:15" ht="12.75">
      <c r="N151" s="133">
        <v>133</v>
      </c>
      <c r="O151" s="134">
        <v>7.2</v>
      </c>
    </row>
    <row r="152" spans="14:15" ht="12.75">
      <c r="N152" s="133">
        <v>134</v>
      </c>
      <c r="O152" s="134">
        <v>7.2</v>
      </c>
    </row>
    <row r="153" spans="14:15" ht="12.75">
      <c r="N153" s="133">
        <v>135</v>
      </c>
      <c r="O153" s="134">
        <v>7.2</v>
      </c>
    </row>
    <row r="154" spans="14:15" ht="12.75">
      <c r="N154" s="133">
        <v>136</v>
      </c>
      <c r="O154" s="134">
        <v>7.2</v>
      </c>
    </row>
    <row r="155" spans="14:15" ht="12.75">
      <c r="N155" s="133">
        <v>137</v>
      </c>
      <c r="O155" s="134">
        <v>7.2</v>
      </c>
    </row>
    <row r="156" spans="14:15" ht="12.75">
      <c r="N156" s="133">
        <v>138</v>
      </c>
      <c r="O156" s="134">
        <v>7.2</v>
      </c>
    </row>
    <row r="157" spans="14:15" ht="12.75">
      <c r="N157" s="133">
        <v>139</v>
      </c>
      <c r="O157" s="134">
        <v>7.2</v>
      </c>
    </row>
    <row r="158" spans="14:15" ht="12.75">
      <c r="N158" s="133">
        <v>140</v>
      </c>
      <c r="O158" s="134">
        <v>7.3</v>
      </c>
    </row>
    <row r="159" spans="14:15" ht="12.75">
      <c r="N159" s="133">
        <v>141</v>
      </c>
      <c r="O159" s="134">
        <v>7.3</v>
      </c>
    </row>
    <row r="160" spans="14:15" ht="12.75">
      <c r="N160" s="133">
        <v>142</v>
      </c>
      <c r="O160" s="134">
        <v>7.3</v>
      </c>
    </row>
    <row r="161" spans="14:15" ht="12.75">
      <c r="N161" s="133">
        <v>143</v>
      </c>
      <c r="O161" s="134">
        <v>7.3</v>
      </c>
    </row>
    <row r="162" spans="14:15" ht="12.75">
      <c r="N162" s="133">
        <v>144</v>
      </c>
      <c r="O162" s="134">
        <v>7.3</v>
      </c>
    </row>
    <row r="163" spans="14:15" ht="12.75">
      <c r="N163" s="133">
        <v>145</v>
      </c>
      <c r="O163" s="134">
        <v>7.3</v>
      </c>
    </row>
    <row r="164" spans="14:15" ht="12.75">
      <c r="N164" s="133">
        <v>146</v>
      </c>
      <c r="O164" s="134">
        <v>7.3</v>
      </c>
    </row>
    <row r="165" spans="14:15" ht="12.75">
      <c r="N165" s="133">
        <v>147</v>
      </c>
      <c r="O165" s="134">
        <v>7.3</v>
      </c>
    </row>
    <row r="166" spans="14:15" ht="12.75">
      <c r="N166" s="133">
        <v>148</v>
      </c>
      <c r="O166" s="134">
        <v>7.3</v>
      </c>
    </row>
    <row r="167" spans="14:15" ht="12.75">
      <c r="N167" s="133">
        <v>149</v>
      </c>
      <c r="O167" s="134">
        <v>7.3</v>
      </c>
    </row>
    <row r="168" spans="14:15" ht="12.75">
      <c r="N168" s="133">
        <v>150</v>
      </c>
      <c r="O168" s="134">
        <v>7.3</v>
      </c>
    </row>
    <row r="169" spans="14:15" ht="12.75">
      <c r="N169" s="133">
        <v>151</v>
      </c>
      <c r="O169" s="134">
        <v>7.3</v>
      </c>
    </row>
    <row r="170" spans="14:15" ht="12.75">
      <c r="N170" s="133">
        <v>152</v>
      </c>
      <c r="O170" s="134">
        <v>7.3</v>
      </c>
    </row>
    <row r="171" spans="14:15" ht="12.75">
      <c r="N171" s="133">
        <v>153</v>
      </c>
      <c r="O171" s="134">
        <v>7.3</v>
      </c>
    </row>
    <row r="172" spans="14:15" ht="12.75">
      <c r="N172" s="133">
        <v>154</v>
      </c>
      <c r="O172" s="134">
        <v>7.3</v>
      </c>
    </row>
    <row r="173" spans="14:15" ht="12.75">
      <c r="N173" s="133">
        <v>155</v>
      </c>
      <c r="O173" s="134">
        <v>7.3</v>
      </c>
    </row>
    <row r="174" spans="14:15" ht="12.75">
      <c r="N174" s="133">
        <v>156</v>
      </c>
      <c r="O174" s="134">
        <v>7.3</v>
      </c>
    </row>
    <row r="175" spans="14:15" ht="12.75">
      <c r="N175" s="133">
        <v>157</v>
      </c>
      <c r="O175" s="134">
        <v>7.3</v>
      </c>
    </row>
    <row r="176" spans="14:15" ht="12.75">
      <c r="N176" s="133">
        <v>158</v>
      </c>
      <c r="O176" s="134">
        <v>7.3</v>
      </c>
    </row>
    <row r="177" spans="14:15" ht="12.75">
      <c r="N177" s="133">
        <v>159</v>
      </c>
      <c r="O177" s="134">
        <v>7.3</v>
      </c>
    </row>
    <row r="178" spans="14:15" ht="12.75">
      <c r="N178" s="133">
        <v>160</v>
      </c>
      <c r="O178" s="134">
        <v>7.3</v>
      </c>
    </row>
    <row r="179" spans="14:15" ht="12.75">
      <c r="N179" s="133">
        <v>161</v>
      </c>
      <c r="O179" s="134">
        <v>7.6</v>
      </c>
    </row>
    <row r="180" spans="14:15" ht="12.75">
      <c r="N180" s="133">
        <v>162</v>
      </c>
      <c r="O180" s="134">
        <v>7.6</v>
      </c>
    </row>
    <row r="181" spans="14:15" ht="12.75">
      <c r="N181" s="133">
        <v>163</v>
      </c>
      <c r="O181" s="134">
        <v>7.6</v>
      </c>
    </row>
    <row r="182" spans="14:15" ht="12.75">
      <c r="N182" s="133">
        <v>164</v>
      </c>
      <c r="O182" s="134">
        <v>7.6</v>
      </c>
    </row>
    <row r="183" spans="14:15" ht="12.75">
      <c r="N183" s="133">
        <v>165</v>
      </c>
      <c r="O183" s="134">
        <v>7.6</v>
      </c>
    </row>
    <row r="184" spans="14:15" ht="12.75">
      <c r="N184" s="133">
        <v>166</v>
      </c>
      <c r="O184" s="134">
        <v>7.6</v>
      </c>
    </row>
    <row r="185" spans="14:15" ht="12.75">
      <c r="N185" s="133">
        <v>167</v>
      </c>
      <c r="O185" s="134">
        <v>7.6</v>
      </c>
    </row>
    <row r="186" spans="14:15" ht="12.75">
      <c r="N186" s="133">
        <v>168</v>
      </c>
      <c r="O186" s="134">
        <v>7.6</v>
      </c>
    </row>
    <row r="187" spans="14:15" ht="12.75">
      <c r="N187" s="133">
        <v>169</v>
      </c>
      <c r="O187" s="134">
        <v>7.6</v>
      </c>
    </row>
    <row r="188" spans="14:15" ht="12.75">
      <c r="N188" s="133">
        <v>170</v>
      </c>
      <c r="O188" s="134">
        <v>7.6</v>
      </c>
    </row>
    <row r="189" spans="14:15" ht="12.75">
      <c r="N189" s="133">
        <v>171</v>
      </c>
      <c r="O189" s="134">
        <v>7.6</v>
      </c>
    </row>
    <row r="190" spans="14:15" ht="12.75">
      <c r="N190" s="133">
        <v>172</v>
      </c>
      <c r="O190" s="134">
        <v>7.6</v>
      </c>
    </row>
    <row r="191" spans="14:15" ht="12.75">
      <c r="N191" s="133">
        <v>173</v>
      </c>
      <c r="O191" s="134">
        <v>7.6</v>
      </c>
    </row>
    <row r="192" spans="14:15" ht="12.75">
      <c r="N192" s="133">
        <v>174</v>
      </c>
      <c r="O192" s="134">
        <v>7.6</v>
      </c>
    </row>
    <row r="193" spans="14:15" ht="12.75">
      <c r="N193" s="133">
        <v>175</v>
      </c>
      <c r="O193" s="134">
        <v>7.6</v>
      </c>
    </row>
    <row r="194" spans="14:15" ht="12.75">
      <c r="N194" s="133">
        <v>176</v>
      </c>
      <c r="O194" s="134">
        <v>7.6</v>
      </c>
    </row>
    <row r="195" spans="14:15" ht="12.75">
      <c r="N195" s="133">
        <v>177</v>
      </c>
      <c r="O195" s="134">
        <v>7.6</v>
      </c>
    </row>
    <row r="196" spans="14:15" ht="12.75">
      <c r="N196" s="133">
        <v>178</v>
      </c>
      <c r="O196" s="134">
        <v>7.6</v>
      </c>
    </row>
    <row r="197" spans="14:15" ht="12.75">
      <c r="N197" s="133">
        <v>179</v>
      </c>
      <c r="O197" s="134">
        <v>7.6</v>
      </c>
    </row>
    <row r="198" spans="14:15" ht="12.75">
      <c r="N198" s="133">
        <v>180</v>
      </c>
      <c r="O198" s="134">
        <v>7.6</v>
      </c>
    </row>
    <row r="199" spans="14:15" ht="12.75">
      <c r="N199" s="133">
        <v>181</v>
      </c>
      <c r="O199" s="134">
        <v>8</v>
      </c>
    </row>
    <row r="200" spans="14:15" ht="12.75">
      <c r="N200" s="133">
        <v>182</v>
      </c>
      <c r="O200" s="134">
        <v>8</v>
      </c>
    </row>
    <row r="201" spans="14:15" ht="12.75">
      <c r="N201" s="133">
        <v>183</v>
      </c>
      <c r="O201" s="134">
        <v>8</v>
      </c>
    </row>
    <row r="202" spans="14:15" ht="12.75">
      <c r="N202" s="133">
        <v>184</v>
      </c>
      <c r="O202" s="134">
        <v>8</v>
      </c>
    </row>
    <row r="203" spans="14:15" ht="12.75">
      <c r="N203" s="133">
        <v>185</v>
      </c>
      <c r="O203" s="134">
        <v>8</v>
      </c>
    </row>
    <row r="204" spans="14:15" ht="12.75">
      <c r="N204" s="133">
        <v>186</v>
      </c>
      <c r="O204" s="134">
        <v>8</v>
      </c>
    </row>
    <row r="205" spans="14:15" ht="12.75">
      <c r="N205" s="133">
        <v>187</v>
      </c>
      <c r="O205" s="134">
        <v>8</v>
      </c>
    </row>
    <row r="206" spans="14:15" ht="12.75">
      <c r="N206" s="133">
        <v>188</v>
      </c>
      <c r="O206" s="134">
        <v>8</v>
      </c>
    </row>
    <row r="207" spans="14:15" ht="12.75">
      <c r="N207" s="133">
        <v>189</v>
      </c>
      <c r="O207" s="134">
        <v>8</v>
      </c>
    </row>
    <row r="208" spans="14:15" ht="12.75">
      <c r="N208" s="133">
        <v>190</v>
      </c>
      <c r="O208" s="134">
        <v>8</v>
      </c>
    </row>
    <row r="209" spans="14:15" ht="12.75">
      <c r="N209" s="133">
        <v>191</v>
      </c>
      <c r="O209" s="134">
        <v>8</v>
      </c>
    </row>
    <row r="210" spans="14:15" ht="12.75">
      <c r="N210" s="133">
        <v>192</v>
      </c>
      <c r="O210" s="134">
        <v>8</v>
      </c>
    </row>
    <row r="211" spans="14:15" ht="12.75">
      <c r="N211" s="133">
        <v>193</v>
      </c>
      <c r="O211" s="134">
        <v>8</v>
      </c>
    </row>
    <row r="212" spans="14:15" ht="12.75">
      <c r="N212" s="133">
        <v>194</v>
      </c>
      <c r="O212" s="134">
        <v>8</v>
      </c>
    </row>
    <row r="213" spans="14:15" ht="12.75">
      <c r="N213" s="133">
        <v>195</v>
      </c>
      <c r="O213" s="134">
        <v>8</v>
      </c>
    </row>
    <row r="214" spans="14:15" ht="12.75">
      <c r="N214" s="133">
        <v>196</v>
      </c>
      <c r="O214" s="134">
        <v>8</v>
      </c>
    </row>
    <row r="215" spans="14:15" ht="12.75">
      <c r="N215" s="133">
        <v>197</v>
      </c>
      <c r="O215" s="134">
        <v>8</v>
      </c>
    </row>
    <row r="216" spans="14:15" ht="12.75">
      <c r="N216" s="133">
        <v>198</v>
      </c>
      <c r="O216" s="134">
        <v>8</v>
      </c>
    </row>
    <row r="217" spans="14:15" ht="12.75">
      <c r="N217" s="133">
        <v>199</v>
      </c>
      <c r="O217" s="134">
        <v>8</v>
      </c>
    </row>
    <row r="218" spans="14:15" ht="12.75">
      <c r="N218" s="133">
        <v>200</v>
      </c>
      <c r="O218" s="134">
        <v>8</v>
      </c>
    </row>
    <row r="219" spans="14:15" ht="12.75">
      <c r="N219" s="133">
        <v>201</v>
      </c>
      <c r="O219" s="134">
        <v>8</v>
      </c>
    </row>
    <row r="220" spans="14:15" ht="12.75">
      <c r="N220" s="133">
        <v>202</v>
      </c>
      <c r="O220" s="134">
        <v>8</v>
      </c>
    </row>
    <row r="221" spans="14:15" ht="12.75">
      <c r="N221" s="133">
        <v>203</v>
      </c>
      <c r="O221" s="134">
        <v>8</v>
      </c>
    </row>
    <row r="222" spans="14:15" ht="12.75">
      <c r="N222" s="133">
        <v>204</v>
      </c>
      <c r="O222" s="134">
        <v>8</v>
      </c>
    </row>
    <row r="223" spans="14:15" ht="12.75">
      <c r="N223" s="133">
        <v>205</v>
      </c>
      <c r="O223" s="134">
        <v>8</v>
      </c>
    </row>
    <row r="224" spans="14:15" ht="12.75">
      <c r="N224" s="133">
        <v>206</v>
      </c>
      <c r="O224" s="134">
        <v>8</v>
      </c>
    </row>
    <row r="225" spans="14:15" ht="12.75">
      <c r="N225" s="133">
        <v>207</v>
      </c>
      <c r="O225" s="134">
        <v>8</v>
      </c>
    </row>
    <row r="226" spans="14:15" ht="12.75">
      <c r="N226" s="133">
        <v>208</v>
      </c>
      <c r="O226" s="134">
        <v>8</v>
      </c>
    </row>
    <row r="227" spans="14:15" ht="12.75">
      <c r="N227" s="133">
        <v>209</v>
      </c>
      <c r="O227" s="134">
        <v>8</v>
      </c>
    </row>
    <row r="228" spans="14:15" ht="12.75">
      <c r="N228" s="133">
        <v>210</v>
      </c>
      <c r="O228" s="134">
        <v>8</v>
      </c>
    </row>
    <row r="229" spans="14:15" ht="12.75">
      <c r="N229" s="133">
        <v>211</v>
      </c>
      <c r="O229" s="134">
        <v>8</v>
      </c>
    </row>
    <row r="230" spans="14:15" ht="12.75">
      <c r="N230" s="133">
        <v>212</v>
      </c>
      <c r="O230" s="134">
        <v>8</v>
      </c>
    </row>
    <row r="231" spans="14:15" ht="12.75">
      <c r="N231" s="133">
        <v>213</v>
      </c>
      <c r="O231" s="134">
        <v>8</v>
      </c>
    </row>
    <row r="232" spans="14:15" ht="12.75">
      <c r="N232" s="133">
        <v>214</v>
      </c>
      <c r="O232" s="134">
        <v>8</v>
      </c>
    </row>
    <row r="233" spans="14:15" ht="12.75">
      <c r="N233" s="133">
        <v>215</v>
      </c>
      <c r="O233" s="134">
        <v>8</v>
      </c>
    </row>
    <row r="234" spans="14:15" ht="12.75">
      <c r="N234" s="133">
        <v>216</v>
      </c>
      <c r="O234" s="134">
        <v>8</v>
      </c>
    </row>
    <row r="235" spans="14:15" ht="12.75">
      <c r="N235" s="133">
        <v>217</v>
      </c>
      <c r="O235" s="134">
        <v>8</v>
      </c>
    </row>
    <row r="236" spans="14:15" ht="12.75">
      <c r="N236" s="133">
        <v>218</v>
      </c>
      <c r="O236" s="134">
        <v>8</v>
      </c>
    </row>
    <row r="237" spans="14:15" ht="12.75">
      <c r="N237" s="133">
        <v>219</v>
      </c>
      <c r="O237" s="134">
        <v>8</v>
      </c>
    </row>
    <row r="238" spans="14:15" ht="12.75">
      <c r="N238" s="133">
        <v>220</v>
      </c>
      <c r="O238" s="134">
        <v>8</v>
      </c>
    </row>
    <row r="239" spans="14:15" ht="12.75">
      <c r="N239" s="133">
        <v>221</v>
      </c>
      <c r="O239" s="134">
        <v>8</v>
      </c>
    </row>
    <row r="240" spans="14:15" ht="12.75">
      <c r="N240" s="133">
        <v>222</v>
      </c>
      <c r="O240" s="134">
        <v>8</v>
      </c>
    </row>
    <row r="241" spans="14:15" ht="12.75">
      <c r="N241" s="133">
        <v>223</v>
      </c>
      <c r="O241" s="134">
        <v>8</v>
      </c>
    </row>
    <row r="242" spans="14:15" ht="12.75">
      <c r="N242" s="133">
        <v>224</v>
      </c>
      <c r="O242" s="134">
        <v>8</v>
      </c>
    </row>
    <row r="243" spans="14:15" ht="13.5" thickBot="1">
      <c r="N243" s="138">
        <v>225</v>
      </c>
      <c r="O243" s="122">
        <v>8</v>
      </c>
    </row>
    <row r="248" ht="15">
      <c r="M248" s="123" t="s">
        <v>140</v>
      </c>
    </row>
    <row r="249" ht="12.75">
      <c r="M249" t="s">
        <v>136</v>
      </c>
    </row>
  </sheetData>
  <sheetProtection/>
  <mergeCells count="1">
    <mergeCell ref="A1:F1"/>
  </mergeCells>
  <printOptions horizontalCentered="1"/>
  <pageMargins left="0.25" right="0.25" top="0.75" bottom="0.75" header="0.3" footer="0.3"/>
  <pageSetup fitToHeight="1" fitToWidth="1" horizontalDpi="600" verticalDpi="600" orientation="portrait" scale="72" r:id="rId3"/>
  <legacyDrawing r:id="rId2"/>
</worksheet>
</file>

<file path=xl/worksheets/sheet2.xml><?xml version="1.0" encoding="utf-8"?>
<worksheet xmlns="http://schemas.openxmlformats.org/spreadsheetml/2006/main" xmlns:r="http://schemas.openxmlformats.org/officeDocument/2006/relationships">
  <dimension ref="A1:D41"/>
  <sheetViews>
    <sheetView zoomScalePageLayoutView="0" workbookViewId="0" topLeftCell="A1">
      <selection activeCell="A1" sqref="A1:D2"/>
    </sheetView>
  </sheetViews>
  <sheetFormatPr defaultColWidth="9.140625" defaultRowHeight="12.75"/>
  <cols>
    <col min="1" max="1" width="22.7109375" style="0" customWidth="1"/>
    <col min="2" max="2" width="24.28125" style="0" customWidth="1"/>
    <col min="3" max="3" width="20.421875" style="0" customWidth="1"/>
    <col min="4" max="4" width="30.00390625" style="0" customWidth="1"/>
  </cols>
  <sheetData>
    <row r="1" spans="1:4" ht="12.75">
      <c r="A1" s="267" t="s">
        <v>32</v>
      </c>
      <c r="B1" s="267"/>
      <c r="C1" s="267"/>
      <c r="D1" s="267"/>
    </row>
    <row r="2" spans="1:4" ht="12.75">
      <c r="A2" s="267"/>
      <c r="B2" s="267"/>
      <c r="C2" s="267"/>
      <c r="D2" s="267"/>
    </row>
    <row r="3" spans="1:4" ht="12.75">
      <c r="A3" s="25" t="s">
        <v>203</v>
      </c>
      <c r="B3" s="1"/>
      <c r="C3" s="1"/>
      <c r="D3" s="1"/>
    </row>
    <row r="4" spans="1:4" ht="12.75">
      <c r="A4" s="1"/>
      <c r="B4" s="1"/>
      <c r="C4" s="1"/>
      <c r="D4" s="1"/>
    </row>
    <row r="5" spans="1:4" ht="12.75">
      <c r="A5" s="1"/>
      <c r="B5" s="1"/>
      <c r="C5" s="1"/>
      <c r="D5" s="1"/>
    </row>
    <row r="6" spans="1:4" ht="13.5" thickBot="1">
      <c r="A6" s="4" t="s">
        <v>47</v>
      </c>
      <c r="B6" s="4" t="s">
        <v>49</v>
      </c>
      <c r="C6" s="1"/>
      <c r="D6" s="1"/>
    </row>
    <row r="7" spans="1:4" ht="12.75">
      <c r="A7" s="49"/>
      <c r="B7" s="50"/>
      <c r="C7" s="1"/>
      <c r="D7" s="1"/>
    </row>
    <row r="8" spans="1:4" ht="12.75">
      <c r="A8" s="10" t="s">
        <v>50</v>
      </c>
      <c r="B8" s="148">
        <v>22</v>
      </c>
      <c r="C8" s="1"/>
      <c r="D8" s="1"/>
    </row>
    <row r="9" spans="1:4" ht="12.75">
      <c r="A9" s="47" t="s">
        <v>51</v>
      </c>
      <c r="B9" s="149" t="s">
        <v>88</v>
      </c>
      <c r="C9" s="1"/>
      <c r="D9" s="1"/>
    </row>
    <row r="10" spans="1:4" ht="12.75">
      <c r="A10" s="47" t="s">
        <v>52</v>
      </c>
      <c r="B10" s="149" t="s">
        <v>88</v>
      </c>
      <c r="C10" s="1"/>
      <c r="D10" s="1"/>
    </row>
    <row r="11" spans="1:4" ht="12.75">
      <c r="A11" s="47" t="s">
        <v>53</v>
      </c>
      <c r="B11" s="149" t="s">
        <v>88</v>
      </c>
      <c r="C11" s="1"/>
      <c r="D11" s="1"/>
    </row>
    <row r="12" spans="1:4" ht="12.75">
      <c r="A12" s="47" t="s">
        <v>54</v>
      </c>
      <c r="B12" s="149" t="s">
        <v>88</v>
      </c>
      <c r="C12" s="1"/>
      <c r="D12" s="1"/>
    </row>
    <row r="13" spans="1:4" ht="12.75">
      <c r="A13" s="48"/>
      <c r="B13" s="149"/>
      <c r="C13" s="1"/>
      <c r="D13" s="1"/>
    </row>
    <row r="14" spans="1:4" ht="12.75">
      <c r="A14" s="48"/>
      <c r="B14" s="149"/>
      <c r="C14" s="1"/>
      <c r="D14" s="1"/>
    </row>
    <row r="15" spans="1:4" ht="12.75">
      <c r="A15" s="41"/>
      <c r="B15" s="148"/>
      <c r="C15" s="1"/>
      <c r="D15" s="1"/>
    </row>
    <row r="16" spans="1:4" ht="13.5" thickBot="1">
      <c r="A16" s="12" t="s">
        <v>55</v>
      </c>
      <c r="B16" s="46">
        <f>AVERAGE(B8:B12)</f>
        <v>22</v>
      </c>
      <c r="C16" s="1"/>
      <c r="D16" s="1"/>
    </row>
    <row r="17" spans="1:4" ht="12.75">
      <c r="A17" s="1"/>
      <c r="B17" s="1"/>
      <c r="C17" s="1"/>
      <c r="D17" s="1"/>
    </row>
    <row r="18" spans="1:4" ht="12.75">
      <c r="A18" s="1"/>
      <c r="B18" s="1"/>
      <c r="C18" s="1"/>
      <c r="D18" s="1"/>
    </row>
    <row r="19" spans="1:4" ht="12.75">
      <c r="A19" s="38" t="s">
        <v>48</v>
      </c>
      <c r="B19" s="38" t="s">
        <v>57</v>
      </c>
      <c r="C19" s="1"/>
      <c r="D19" s="1"/>
    </row>
    <row r="20" spans="1:4" ht="12.75">
      <c r="A20" s="1"/>
      <c r="B20" s="1"/>
      <c r="C20" s="1"/>
      <c r="D20" s="1"/>
    </row>
    <row r="21" spans="1:4" ht="12.75">
      <c r="A21" s="1"/>
      <c r="B21" s="1"/>
      <c r="C21" s="1"/>
      <c r="D21" s="1"/>
    </row>
    <row r="22" spans="1:4" ht="12.75">
      <c r="A22" s="38" t="s">
        <v>56</v>
      </c>
      <c r="B22" s="38" t="s">
        <v>58</v>
      </c>
      <c r="C22" s="1"/>
      <c r="D22" s="1"/>
    </row>
    <row r="23" spans="1:4" ht="12.75">
      <c r="A23" s="1"/>
      <c r="B23" s="1"/>
      <c r="C23" s="1"/>
      <c r="D23" s="1"/>
    </row>
    <row r="24" spans="1:4" ht="12.75">
      <c r="A24" s="38" t="s">
        <v>33</v>
      </c>
      <c r="B24" s="38" t="s">
        <v>63</v>
      </c>
      <c r="C24" s="38" t="s">
        <v>35</v>
      </c>
      <c r="D24" s="38" t="s">
        <v>37</v>
      </c>
    </row>
    <row r="25" spans="1:4" ht="13.5" thickBot="1">
      <c r="A25" s="38" t="s">
        <v>34</v>
      </c>
      <c r="B25" s="38" t="s">
        <v>64</v>
      </c>
      <c r="C25" s="38" t="s">
        <v>36</v>
      </c>
      <c r="D25" s="38" t="s">
        <v>45</v>
      </c>
    </row>
    <row r="26" spans="1:4" ht="12.75">
      <c r="A26" s="5" t="s">
        <v>38</v>
      </c>
      <c r="B26" s="146">
        <v>40</v>
      </c>
      <c r="C26" s="146">
        <v>16</v>
      </c>
      <c r="D26" s="13">
        <f>B26*C26</f>
        <v>640</v>
      </c>
    </row>
    <row r="27" spans="1:4" ht="12.75">
      <c r="A27" s="47" t="s">
        <v>39</v>
      </c>
      <c r="B27" s="147"/>
      <c r="C27" s="147"/>
      <c r="D27" s="51"/>
    </row>
    <row r="28" spans="1:4" ht="12.75">
      <c r="A28" s="47" t="s">
        <v>40</v>
      </c>
      <c r="B28" s="147"/>
      <c r="C28" s="147"/>
      <c r="D28" s="51"/>
    </row>
    <row r="29" spans="1:4" ht="13.5" thickBot="1">
      <c r="A29" s="39" t="s">
        <v>46</v>
      </c>
      <c r="B29" s="40"/>
      <c r="C29" s="40"/>
      <c r="D29" s="52">
        <f>AVERAGE(D26:D28)</f>
        <v>640</v>
      </c>
    </row>
    <row r="30" spans="1:4" ht="12.75">
      <c r="A30" s="1"/>
      <c r="B30" s="1"/>
      <c r="C30" s="1"/>
      <c r="D30" s="1"/>
    </row>
    <row r="31" spans="1:4" ht="12.75">
      <c r="A31" s="1"/>
      <c r="B31" s="1"/>
      <c r="C31" s="1"/>
      <c r="D31" s="1"/>
    </row>
    <row r="32" spans="1:4" ht="12.75">
      <c r="A32" s="38" t="s">
        <v>59</v>
      </c>
      <c r="B32" s="1"/>
      <c r="C32" s="1"/>
      <c r="D32" s="1"/>
    </row>
    <row r="33" spans="1:4" ht="13.5" thickBot="1">
      <c r="A33" s="1"/>
      <c r="B33" s="1"/>
      <c r="C33" s="1"/>
      <c r="D33" s="1"/>
    </row>
    <row r="34" spans="1:4" ht="15.75" thickBot="1">
      <c r="A34" s="42" t="s">
        <v>60</v>
      </c>
      <c r="B34" s="43">
        <f>(B16*D29)*0.0116</f>
        <v>163.32799999999997</v>
      </c>
      <c r="C34" s="44" t="s">
        <v>61</v>
      </c>
      <c r="D34" s="1"/>
    </row>
    <row r="35" spans="1:4" ht="12.75">
      <c r="A35" s="1"/>
      <c r="B35" s="1"/>
      <c r="C35" s="1"/>
      <c r="D35" s="1"/>
    </row>
    <row r="36" spans="1:4" ht="12.75">
      <c r="A36" s="1"/>
      <c r="B36" s="1"/>
      <c r="C36" s="1"/>
      <c r="D36" s="1"/>
    </row>
    <row r="37" spans="1:4" ht="12.75">
      <c r="A37" s="45" t="s">
        <v>25</v>
      </c>
      <c r="B37" s="1"/>
      <c r="C37" s="1"/>
      <c r="D37" s="1"/>
    </row>
    <row r="38" spans="1:4" ht="12.75">
      <c r="A38" s="45" t="s">
        <v>41</v>
      </c>
      <c r="B38" s="1"/>
      <c r="C38" s="1"/>
      <c r="D38" s="1"/>
    </row>
    <row r="39" spans="1:4" ht="12.75">
      <c r="A39" s="45" t="s">
        <v>42</v>
      </c>
      <c r="B39" s="1"/>
      <c r="C39" s="1"/>
      <c r="D39" s="1"/>
    </row>
    <row r="40" spans="1:4" ht="12.75">
      <c r="A40" s="45" t="s">
        <v>43</v>
      </c>
      <c r="B40" s="1"/>
      <c r="C40" s="1"/>
      <c r="D40" s="38"/>
    </row>
    <row r="41" spans="1:4" ht="12.75">
      <c r="A41" s="45" t="s">
        <v>44</v>
      </c>
      <c r="B41" s="1"/>
      <c r="C41" s="1"/>
      <c r="D41" s="1"/>
    </row>
  </sheetData>
  <sheetProtection/>
  <mergeCells count="1">
    <mergeCell ref="A1:D2"/>
  </mergeCells>
  <printOptions/>
  <pageMargins left="0.27"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B4" sqref="B4"/>
    </sheetView>
  </sheetViews>
  <sheetFormatPr defaultColWidth="9.140625" defaultRowHeight="12.75"/>
  <cols>
    <col min="4" max="4" width="12.28125" style="0" bestFit="1" customWidth="1"/>
  </cols>
  <sheetData>
    <row r="1" spans="1:10" ht="38.25" customHeight="1" thickBot="1">
      <c r="A1" s="268" t="s">
        <v>216</v>
      </c>
      <c r="B1" s="268"/>
      <c r="C1" s="268"/>
      <c r="D1" s="268"/>
      <c r="E1" s="268"/>
      <c r="F1" s="268"/>
      <c r="G1" s="268"/>
      <c r="H1" s="268"/>
      <c r="I1" s="268"/>
      <c r="J1" s="268"/>
    </row>
    <row r="2" spans="1:10" s="218" customFormat="1" ht="22.5" customHeight="1">
      <c r="A2" s="224" t="s">
        <v>220</v>
      </c>
      <c r="B2" s="225"/>
      <c r="C2" s="225"/>
      <c r="D2" s="225"/>
      <c r="E2" s="225"/>
      <c r="F2" s="225"/>
      <c r="G2" s="225"/>
      <c r="H2" s="225"/>
      <c r="I2" s="225"/>
      <c r="J2" s="226"/>
    </row>
    <row r="3" spans="1:10" ht="13.5" customHeight="1">
      <c r="A3" s="227"/>
      <c r="B3" s="219"/>
      <c r="C3" s="219"/>
      <c r="D3" s="219"/>
      <c r="E3" s="219"/>
      <c r="F3" s="219"/>
      <c r="G3" s="219"/>
      <c r="H3" s="219"/>
      <c r="I3" s="219"/>
      <c r="J3" s="228"/>
    </row>
    <row r="4" spans="1:10" ht="12" customHeight="1">
      <c r="A4" s="32"/>
      <c r="B4" s="150"/>
      <c r="C4" s="33"/>
      <c r="D4" s="220"/>
      <c r="E4" s="220"/>
      <c r="F4" s="220"/>
      <c r="G4" s="220"/>
      <c r="H4" s="220"/>
      <c r="I4" s="220"/>
      <c r="J4" s="229"/>
    </row>
    <row r="5" spans="1:10" ht="11.25" customHeight="1">
      <c r="A5" s="230"/>
      <c r="B5" s="221"/>
      <c r="C5" s="222"/>
      <c r="D5" s="223"/>
      <c r="E5" s="223"/>
      <c r="F5" s="223"/>
      <c r="G5" s="223"/>
      <c r="H5" s="223"/>
      <c r="I5" s="223"/>
      <c r="J5" s="231"/>
    </row>
    <row r="6" spans="1:10" ht="12.75">
      <c r="A6" s="258" t="s">
        <v>215</v>
      </c>
      <c r="B6" s="233"/>
      <c r="C6" s="233"/>
      <c r="D6" s="233"/>
      <c r="E6" s="233"/>
      <c r="F6" s="233"/>
      <c r="G6" s="233"/>
      <c r="H6" s="233"/>
      <c r="I6" s="233"/>
      <c r="J6" s="234"/>
    </row>
    <row r="7" spans="1:10" ht="12.75">
      <c r="A7" s="232"/>
      <c r="B7" s="233"/>
      <c r="C7" s="233"/>
      <c r="D7" s="233"/>
      <c r="E7" s="233"/>
      <c r="F7" s="233"/>
      <c r="G7" s="233"/>
      <c r="H7" s="233"/>
      <c r="I7" s="233"/>
      <c r="J7" s="234"/>
    </row>
    <row r="8" spans="1:10" ht="12.75">
      <c r="A8" s="232"/>
      <c r="B8" s="233"/>
      <c r="C8" s="233"/>
      <c r="D8" s="233"/>
      <c r="E8" s="233"/>
      <c r="F8" s="233"/>
      <c r="G8" s="233"/>
      <c r="H8" s="233"/>
      <c r="I8" s="233"/>
      <c r="J8" s="234"/>
    </row>
    <row r="9" spans="1:10" ht="19.5">
      <c r="A9" s="235" t="s">
        <v>0</v>
      </c>
      <c r="B9" s="233"/>
      <c r="C9" s="233"/>
      <c r="D9" s="233"/>
      <c r="E9" s="233"/>
      <c r="F9" s="233"/>
      <c r="G9" s="233"/>
      <c r="H9" s="233"/>
      <c r="I9" s="233"/>
      <c r="J9" s="234"/>
    </row>
    <row r="10" spans="1:10" ht="12.75">
      <c r="A10" s="236" t="s">
        <v>204</v>
      </c>
      <c r="B10" s="237"/>
      <c r="C10" s="237"/>
      <c r="D10" s="237"/>
      <c r="E10" s="237"/>
      <c r="F10" s="237"/>
      <c r="G10" s="237"/>
      <c r="H10" s="237"/>
      <c r="I10" s="237"/>
      <c r="J10" s="238"/>
    </row>
    <row r="11" spans="1:10" ht="12.75">
      <c r="A11" s="239" t="s">
        <v>205</v>
      </c>
      <c r="B11" s="240"/>
      <c r="C11" s="240"/>
      <c r="D11" s="253">
        <v>130</v>
      </c>
      <c r="E11" s="241" t="s">
        <v>210</v>
      </c>
      <c r="F11" s="240"/>
      <c r="G11" s="240"/>
      <c r="H11" s="240"/>
      <c r="I11" s="240"/>
      <c r="J11" s="242"/>
    </row>
    <row r="12" spans="1:10" ht="12.75">
      <c r="A12" s="243" t="s">
        <v>206</v>
      </c>
      <c r="B12" s="233"/>
      <c r="C12" s="233"/>
      <c r="D12" s="254">
        <v>35</v>
      </c>
      <c r="E12" s="244" t="s">
        <v>210</v>
      </c>
      <c r="F12" s="233"/>
      <c r="G12" s="233"/>
      <c r="H12" s="233"/>
      <c r="I12" s="233"/>
      <c r="J12" s="234"/>
    </row>
    <row r="13" spans="1:10" ht="12.75">
      <c r="A13" s="245" t="s">
        <v>207</v>
      </c>
      <c r="B13" s="246"/>
      <c r="C13" s="246"/>
      <c r="D13" s="255">
        <v>8</v>
      </c>
      <c r="E13" s="247" t="s">
        <v>210</v>
      </c>
      <c r="F13" s="246"/>
      <c r="G13" s="246"/>
      <c r="H13" s="246"/>
      <c r="I13" s="246"/>
      <c r="J13" s="248"/>
    </row>
    <row r="14" spans="1:10" ht="12.75">
      <c r="A14" s="232"/>
      <c r="B14" s="233"/>
      <c r="C14" s="233"/>
      <c r="D14" s="256"/>
      <c r="E14" s="233"/>
      <c r="F14" s="233"/>
      <c r="G14" s="233"/>
      <c r="H14" s="233"/>
      <c r="I14" s="233"/>
      <c r="J14" s="234"/>
    </row>
    <row r="15" spans="1:10" ht="12.75">
      <c r="A15" s="239" t="s">
        <v>209</v>
      </c>
      <c r="B15" s="241"/>
      <c r="C15" s="241"/>
      <c r="D15" s="257">
        <v>0.65</v>
      </c>
      <c r="E15" s="241" t="s">
        <v>88</v>
      </c>
      <c r="F15" s="241"/>
      <c r="G15" s="241"/>
      <c r="H15" s="241"/>
      <c r="I15" s="241"/>
      <c r="J15" s="264"/>
    </row>
    <row r="16" spans="1:10" ht="12.75">
      <c r="A16" s="245" t="s">
        <v>208</v>
      </c>
      <c r="B16" s="247"/>
      <c r="C16" s="247"/>
      <c r="D16" s="252">
        <v>14</v>
      </c>
      <c r="E16" s="247" t="s">
        <v>219</v>
      </c>
      <c r="F16" s="247"/>
      <c r="G16" s="247"/>
      <c r="H16" s="247"/>
      <c r="I16" s="247"/>
      <c r="J16" s="265"/>
    </row>
    <row r="17" spans="1:10" ht="12.75">
      <c r="A17" s="232"/>
      <c r="B17" s="233"/>
      <c r="C17" s="233"/>
      <c r="D17" s="233"/>
      <c r="E17" s="233"/>
      <c r="F17" s="233"/>
      <c r="G17" s="233"/>
      <c r="H17" s="233"/>
      <c r="I17" s="233"/>
      <c r="J17" s="234"/>
    </row>
    <row r="18" spans="1:10" ht="12.75">
      <c r="A18" s="232"/>
      <c r="B18" s="233"/>
      <c r="C18" s="233"/>
      <c r="D18" s="233"/>
      <c r="E18" s="233"/>
      <c r="F18" s="233"/>
      <c r="G18" s="233"/>
      <c r="H18" s="233"/>
      <c r="I18" s="233"/>
      <c r="J18" s="234"/>
    </row>
    <row r="19" spans="1:10" ht="19.5">
      <c r="A19" s="249" t="s">
        <v>211</v>
      </c>
      <c r="B19" s="233"/>
      <c r="C19" s="233"/>
      <c r="D19" s="233"/>
      <c r="E19" s="233"/>
      <c r="F19" s="233"/>
      <c r="G19" s="233"/>
      <c r="H19" s="233"/>
      <c r="I19" s="233"/>
      <c r="J19" s="234"/>
    </row>
    <row r="20" spans="1:10" ht="12.75">
      <c r="A20" s="239" t="s">
        <v>212</v>
      </c>
      <c r="B20" s="241"/>
      <c r="C20" s="241"/>
      <c r="D20" s="250">
        <f>D11*D12*D13</f>
        <v>36400</v>
      </c>
      <c r="E20" s="240"/>
      <c r="F20" s="240"/>
      <c r="G20" s="240"/>
      <c r="H20" s="240"/>
      <c r="I20" s="240"/>
      <c r="J20" s="242"/>
    </row>
    <row r="21" spans="1:10" ht="13.5" thickBot="1">
      <c r="A21" s="243" t="s">
        <v>213</v>
      </c>
      <c r="B21" s="244"/>
      <c r="C21" s="244"/>
      <c r="D21" s="251">
        <f>D20*(14/((1-D15)))</f>
        <v>1456000</v>
      </c>
      <c r="E21" s="233"/>
      <c r="F21" s="233"/>
      <c r="G21" s="233"/>
      <c r="H21" s="233"/>
      <c r="I21" s="233"/>
      <c r="J21" s="234"/>
    </row>
    <row r="22" spans="1:10" ht="13.5" thickBot="1">
      <c r="A22" s="259" t="s">
        <v>214</v>
      </c>
      <c r="B22" s="260"/>
      <c r="C22" s="260"/>
      <c r="D22" s="261">
        <f>+D21/2000</f>
        <v>728</v>
      </c>
      <c r="E22" s="262"/>
      <c r="F22" s="262"/>
      <c r="G22" s="262"/>
      <c r="H22" s="262"/>
      <c r="I22" s="262"/>
      <c r="J22" s="263"/>
    </row>
  </sheetData>
  <sheetProtection/>
  <mergeCells count="1">
    <mergeCell ref="A1:J1"/>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V56"/>
  <sheetViews>
    <sheetView zoomScalePageLayoutView="0" workbookViewId="0" topLeftCell="A10">
      <selection activeCell="A7" sqref="A7:B9"/>
    </sheetView>
  </sheetViews>
  <sheetFormatPr defaultColWidth="9.140625" defaultRowHeight="12.75"/>
  <cols>
    <col min="3" max="3" width="24.57421875" style="0" customWidth="1"/>
    <col min="4" max="4" width="13.8515625" style="0" customWidth="1"/>
    <col min="5" max="5" width="11.8515625" style="0" customWidth="1"/>
    <col min="6" max="6" width="4.7109375" style="0" customWidth="1"/>
    <col min="7" max="7" width="9.28125" style="0" customWidth="1"/>
    <col min="8" max="9" width="7.140625" style="0" customWidth="1"/>
  </cols>
  <sheetData>
    <row r="1" spans="1:19" ht="31.5">
      <c r="A1" s="271" t="s">
        <v>141</v>
      </c>
      <c r="B1" s="272"/>
      <c r="C1" s="272"/>
      <c r="D1" s="272"/>
      <c r="E1" s="272"/>
      <c r="F1" s="272"/>
      <c r="G1" s="272"/>
      <c r="H1" s="272"/>
      <c r="I1" s="273"/>
      <c r="S1" s="217" t="s">
        <v>218</v>
      </c>
    </row>
    <row r="2" spans="1:19" ht="12.75">
      <c r="A2" s="29"/>
      <c r="B2" s="30"/>
      <c r="C2" s="30"/>
      <c r="D2" s="30"/>
      <c r="E2" s="30"/>
      <c r="F2" s="30"/>
      <c r="G2" s="3"/>
      <c r="H2" s="3"/>
      <c r="I2" s="9"/>
      <c r="S2" t="s">
        <v>116</v>
      </c>
    </row>
    <row r="3" spans="1:22" ht="12.75">
      <c r="A3" s="100" t="s">
        <v>88</v>
      </c>
      <c r="B3" s="97"/>
      <c r="C3" s="97"/>
      <c r="D3" s="97"/>
      <c r="E3" s="97"/>
      <c r="F3" s="97"/>
      <c r="G3" s="67"/>
      <c r="H3" s="67"/>
      <c r="I3" s="68"/>
      <c r="S3" t="s">
        <v>113</v>
      </c>
      <c r="U3" s="95"/>
      <c r="V3" s="95"/>
    </row>
    <row r="4" spans="1:19" ht="12.75">
      <c r="A4" s="29" t="s">
        <v>88</v>
      </c>
      <c r="B4" s="30"/>
      <c r="C4" s="30"/>
      <c r="D4" s="30"/>
      <c r="E4" s="30"/>
      <c r="F4" s="30"/>
      <c r="G4" s="3"/>
      <c r="H4" s="3"/>
      <c r="I4" s="9"/>
      <c r="S4" t="s">
        <v>114</v>
      </c>
    </row>
    <row r="5" spans="1:19" ht="12.75">
      <c r="A5" s="29"/>
      <c r="B5" s="30"/>
      <c r="C5" s="30"/>
      <c r="D5" s="30"/>
      <c r="E5" s="30"/>
      <c r="F5" s="30"/>
      <c r="G5" s="3"/>
      <c r="H5" s="3"/>
      <c r="I5" s="9"/>
      <c r="S5" t="s">
        <v>115</v>
      </c>
    </row>
    <row r="6" spans="1:19" ht="12.75">
      <c r="A6" s="32" t="s">
        <v>220</v>
      </c>
      <c r="B6" s="33"/>
      <c r="C6" s="33"/>
      <c r="D6" s="33"/>
      <c r="E6" s="33"/>
      <c r="F6" s="33"/>
      <c r="G6" s="3"/>
      <c r="H6" s="3"/>
      <c r="I6" s="9"/>
      <c r="S6" t="s">
        <v>171</v>
      </c>
    </row>
    <row r="7" spans="1:9" ht="12.75">
      <c r="A7" s="32"/>
      <c r="B7" s="33"/>
      <c r="C7" s="33"/>
      <c r="D7" s="33"/>
      <c r="E7" s="33"/>
      <c r="F7" s="33"/>
      <c r="G7" s="3"/>
      <c r="H7" s="3"/>
      <c r="I7" s="9"/>
    </row>
    <row r="8" spans="1:9" ht="12.75">
      <c r="A8" s="32"/>
      <c r="B8" s="150"/>
      <c r="C8" s="33"/>
      <c r="D8" s="33"/>
      <c r="E8" s="33"/>
      <c r="F8" s="33"/>
      <c r="G8" s="3"/>
      <c r="H8" s="3"/>
      <c r="I8" s="9"/>
    </row>
    <row r="9" spans="1:9" ht="12.75">
      <c r="A9" s="32"/>
      <c r="B9" s="33"/>
      <c r="C9" s="33"/>
      <c r="D9" s="33"/>
      <c r="E9" s="33"/>
      <c r="F9" s="33" t="s">
        <v>217</v>
      </c>
      <c r="G9" s="3"/>
      <c r="H9" s="3"/>
      <c r="I9" s="9"/>
    </row>
    <row r="10" spans="1:9" ht="12.75">
      <c r="A10" s="41"/>
      <c r="B10" s="2"/>
      <c r="C10" s="2"/>
      <c r="D10" s="2"/>
      <c r="E10" s="2"/>
      <c r="F10" s="2"/>
      <c r="G10" s="2"/>
      <c r="H10" s="2"/>
      <c r="I10" s="11"/>
    </row>
    <row r="11" spans="1:9" ht="12.75">
      <c r="A11" s="8"/>
      <c r="B11" s="3"/>
      <c r="C11" s="3"/>
      <c r="D11" s="3"/>
      <c r="E11" s="3"/>
      <c r="F11" s="3"/>
      <c r="G11" s="3"/>
      <c r="H11" s="3"/>
      <c r="I11" s="9"/>
    </row>
    <row r="12" spans="1:9" ht="12.75">
      <c r="A12" s="8"/>
      <c r="B12" s="3"/>
      <c r="C12" s="3"/>
      <c r="D12" s="3"/>
      <c r="E12" s="3"/>
      <c r="F12" s="3"/>
      <c r="G12" s="3"/>
      <c r="H12" s="3"/>
      <c r="I12" s="9"/>
    </row>
    <row r="13" spans="1:9" ht="12.75">
      <c r="A13" s="8"/>
      <c r="B13" s="3"/>
      <c r="C13" s="3"/>
      <c r="D13" s="3"/>
      <c r="E13" s="3"/>
      <c r="F13" s="3"/>
      <c r="G13" s="3"/>
      <c r="H13" s="3"/>
      <c r="I13" s="9"/>
    </row>
    <row r="14" spans="1:9" ht="12.75">
      <c r="A14" s="8"/>
      <c r="B14" s="3"/>
      <c r="C14" s="3"/>
      <c r="D14" s="4" t="s">
        <v>110</v>
      </c>
      <c r="E14" s="4"/>
      <c r="F14" s="4"/>
      <c r="G14" s="4" t="s">
        <v>111</v>
      </c>
      <c r="H14" s="4"/>
      <c r="I14" s="9"/>
    </row>
    <row r="15" spans="1:9" ht="12.75">
      <c r="A15" s="274" t="s">
        <v>145</v>
      </c>
      <c r="B15" s="275"/>
      <c r="C15" s="275"/>
      <c r="D15" s="207">
        <v>120</v>
      </c>
      <c r="E15" s="67" t="s">
        <v>90</v>
      </c>
      <c r="F15" s="67"/>
      <c r="G15" s="207">
        <v>50</v>
      </c>
      <c r="H15" s="67" t="s">
        <v>90</v>
      </c>
      <c r="I15" s="68"/>
    </row>
    <row r="16" spans="1:9" ht="12.75">
      <c r="A16" s="276" t="s">
        <v>89</v>
      </c>
      <c r="B16" s="277"/>
      <c r="C16" s="277"/>
      <c r="D16" s="109">
        <f>D15*60</f>
        <v>7200</v>
      </c>
      <c r="E16" s="109" t="s">
        <v>91</v>
      </c>
      <c r="F16" s="109"/>
      <c r="G16" s="109">
        <f>G15*60</f>
        <v>3000</v>
      </c>
      <c r="H16" s="109" t="s">
        <v>91</v>
      </c>
      <c r="I16" s="9"/>
    </row>
    <row r="17" spans="1:9" ht="12.75">
      <c r="A17" s="276" t="s">
        <v>165</v>
      </c>
      <c r="B17" s="277"/>
      <c r="C17" s="277"/>
      <c r="D17" s="208">
        <v>0.25</v>
      </c>
      <c r="E17" s="209"/>
      <c r="F17" s="209"/>
      <c r="G17" s="208">
        <v>0.25</v>
      </c>
      <c r="H17" s="3"/>
      <c r="I17" s="9"/>
    </row>
    <row r="18" spans="1:9" ht="12.75">
      <c r="A18" s="113" t="s">
        <v>142</v>
      </c>
      <c r="B18" s="110"/>
      <c r="C18" s="110"/>
      <c r="D18" s="210">
        <v>1100</v>
      </c>
      <c r="E18" s="209"/>
      <c r="F18" s="209"/>
      <c r="G18" s="210">
        <f>+D18</f>
        <v>1100</v>
      </c>
      <c r="H18" s="3"/>
      <c r="I18" s="9"/>
    </row>
    <row r="19" spans="1:9" ht="12.75">
      <c r="A19" s="276" t="s">
        <v>143</v>
      </c>
      <c r="B19" s="277"/>
      <c r="C19" s="277"/>
      <c r="D19" s="109">
        <f>+D18*0.025*30</f>
        <v>825</v>
      </c>
      <c r="E19" s="109" t="s">
        <v>112</v>
      </c>
      <c r="F19" s="109"/>
      <c r="G19" s="109">
        <f>+D19</f>
        <v>825</v>
      </c>
      <c r="H19" s="109" t="s">
        <v>112</v>
      </c>
      <c r="I19" s="115"/>
    </row>
    <row r="20" spans="1:9" ht="12.75">
      <c r="A20" s="276" t="s">
        <v>164</v>
      </c>
      <c r="B20" s="277"/>
      <c r="C20" s="277"/>
      <c r="D20" s="109">
        <f>D16*D17</f>
        <v>1800</v>
      </c>
      <c r="E20" s="109" t="s">
        <v>92</v>
      </c>
      <c r="F20" s="109"/>
      <c r="G20" s="109">
        <f>G16*G17</f>
        <v>750</v>
      </c>
      <c r="H20" s="109" t="s">
        <v>92</v>
      </c>
      <c r="I20" s="115"/>
    </row>
    <row r="21" spans="1:9" ht="12.75">
      <c r="A21" s="276" t="s">
        <v>117</v>
      </c>
      <c r="B21" s="277"/>
      <c r="C21" s="277"/>
      <c r="D21" s="211">
        <v>100</v>
      </c>
      <c r="E21" s="3" t="s">
        <v>93</v>
      </c>
      <c r="F21" s="3"/>
      <c r="G21" s="139">
        <v>125</v>
      </c>
      <c r="H21" s="3" t="s">
        <v>93</v>
      </c>
      <c r="I21" s="9"/>
    </row>
    <row r="22" spans="1:9" ht="12.75">
      <c r="A22" s="276" t="s">
        <v>109</v>
      </c>
      <c r="B22" s="277"/>
      <c r="C22" s="277"/>
      <c r="D22" s="211">
        <v>535</v>
      </c>
      <c r="E22" s="3" t="s">
        <v>93</v>
      </c>
      <c r="F22" s="3"/>
      <c r="G22" s="139">
        <f>+D22</f>
        <v>535</v>
      </c>
      <c r="H22" s="3" t="s">
        <v>93</v>
      </c>
      <c r="I22" s="9"/>
    </row>
    <row r="23" spans="1:9" ht="12.75">
      <c r="A23" s="113" t="s">
        <v>120</v>
      </c>
      <c r="B23" s="110"/>
      <c r="C23" s="110"/>
      <c r="D23" s="210">
        <v>90</v>
      </c>
      <c r="E23" s="3" t="s">
        <v>121</v>
      </c>
      <c r="F23" s="3"/>
      <c r="G23" s="210">
        <v>90</v>
      </c>
      <c r="H23" s="3" t="s">
        <v>121</v>
      </c>
      <c r="I23" s="9"/>
    </row>
    <row r="24" spans="1:9" ht="12.75">
      <c r="A24" s="269" t="s">
        <v>94</v>
      </c>
      <c r="B24" s="270"/>
      <c r="C24" s="270"/>
      <c r="D24" s="99">
        <f>((D21*0.85)-(D22*0.1))*D20/2000</f>
        <v>28.35</v>
      </c>
      <c r="E24" s="65" t="s">
        <v>95</v>
      </c>
      <c r="F24" s="65"/>
      <c r="G24" s="99">
        <f>((G21*0.85)-(G22*0.1))*G20/2000</f>
        <v>19.78125</v>
      </c>
      <c r="H24" s="65" t="s">
        <v>95</v>
      </c>
      <c r="I24" s="11"/>
    </row>
    <row r="25" spans="1:9" ht="12.75">
      <c r="A25" s="104"/>
      <c r="B25" s="105"/>
      <c r="C25" s="105"/>
      <c r="D25" s="3"/>
      <c r="E25" s="3"/>
      <c r="F25" s="3"/>
      <c r="G25" s="3"/>
      <c r="H25" s="3"/>
      <c r="I25" s="9"/>
    </row>
    <row r="26" spans="1:9" ht="12.75">
      <c r="A26" s="276" t="s">
        <v>108</v>
      </c>
      <c r="B26" s="277"/>
      <c r="C26" s="277"/>
      <c r="D26" s="3"/>
      <c r="E26" s="3"/>
      <c r="F26" s="3"/>
      <c r="G26" s="3"/>
      <c r="H26" s="3"/>
      <c r="I26" s="9"/>
    </row>
    <row r="27" spans="1:9" ht="12.75">
      <c r="A27" s="274" t="s">
        <v>103</v>
      </c>
      <c r="B27" s="275"/>
      <c r="C27" s="275"/>
      <c r="D27" s="212">
        <v>1</v>
      </c>
      <c r="E27" s="67"/>
      <c r="F27" s="67"/>
      <c r="G27" s="67"/>
      <c r="H27" s="67"/>
      <c r="I27" s="68"/>
    </row>
    <row r="28" spans="1:9" ht="12.75">
      <c r="A28" s="276" t="s">
        <v>99</v>
      </c>
      <c r="B28" s="277"/>
      <c r="C28" s="277"/>
      <c r="D28" s="213">
        <v>5</v>
      </c>
      <c r="E28" s="3"/>
      <c r="F28" s="3"/>
      <c r="G28" s="3"/>
      <c r="H28" s="3"/>
      <c r="I28" s="9"/>
    </row>
    <row r="29" spans="1:9" ht="12.75">
      <c r="A29" s="276" t="s">
        <v>100</v>
      </c>
      <c r="B29" s="277"/>
      <c r="C29" s="277"/>
      <c r="D29" s="213">
        <v>15</v>
      </c>
      <c r="E29" s="3"/>
      <c r="F29" s="3"/>
      <c r="G29" s="3"/>
      <c r="H29" s="3"/>
      <c r="I29" s="9"/>
    </row>
    <row r="30" spans="1:9" ht="12.75">
      <c r="A30" s="113" t="s">
        <v>169</v>
      </c>
      <c r="B30" s="110"/>
      <c r="C30" s="110"/>
      <c r="D30" s="215">
        <v>0.45</v>
      </c>
      <c r="E30" s="3"/>
      <c r="F30" s="3"/>
      <c r="G30" s="3"/>
      <c r="H30" s="3"/>
      <c r="I30" s="9"/>
    </row>
    <row r="31" spans="1:9" ht="12.75">
      <c r="A31" s="276" t="s">
        <v>104</v>
      </c>
      <c r="B31" s="277"/>
      <c r="C31" s="277"/>
      <c r="D31" s="213">
        <v>1</v>
      </c>
      <c r="E31" s="3"/>
      <c r="F31" s="3" t="s">
        <v>88</v>
      </c>
      <c r="G31" s="3"/>
      <c r="H31" s="3"/>
      <c r="I31" s="9"/>
    </row>
    <row r="32" spans="1:9" ht="12.75">
      <c r="A32" s="276" t="s">
        <v>101</v>
      </c>
      <c r="B32" s="277"/>
      <c r="C32" s="277"/>
      <c r="D32" s="213">
        <v>4</v>
      </c>
      <c r="E32" s="3"/>
      <c r="F32" s="3"/>
      <c r="G32" s="3"/>
      <c r="H32" s="3"/>
      <c r="I32" s="9"/>
    </row>
    <row r="33" spans="1:9" ht="12.75">
      <c r="A33" s="113" t="s">
        <v>144</v>
      </c>
      <c r="B33" s="110"/>
      <c r="C33" s="110"/>
      <c r="D33" s="213">
        <v>2</v>
      </c>
      <c r="E33" s="3"/>
      <c r="F33" s="3"/>
      <c r="G33" s="3"/>
      <c r="H33" s="3"/>
      <c r="I33" s="9"/>
    </row>
    <row r="34" spans="1:9" ht="12.75">
      <c r="A34" s="269" t="s">
        <v>102</v>
      </c>
      <c r="B34" s="270"/>
      <c r="C34" s="270"/>
      <c r="D34" s="214">
        <v>40</v>
      </c>
      <c r="E34" s="2"/>
      <c r="F34" s="2"/>
      <c r="G34" s="2"/>
      <c r="H34" s="2"/>
      <c r="I34" s="11"/>
    </row>
    <row r="35" spans="1:14" ht="12.75">
      <c r="A35" s="104"/>
      <c r="B35" s="105"/>
      <c r="C35" s="105"/>
      <c r="D35" s="3"/>
      <c r="E35" s="3"/>
      <c r="F35" s="3"/>
      <c r="G35" s="3"/>
      <c r="H35" s="3"/>
      <c r="I35" s="9"/>
      <c r="N35" t="s">
        <v>88</v>
      </c>
    </row>
    <row r="36" spans="1:9" ht="12.75">
      <c r="A36" s="104"/>
      <c r="B36" s="105"/>
      <c r="C36" s="105"/>
      <c r="D36" s="98" t="s">
        <v>105</v>
      </c>
      <c r="E36" s="3"/>
      <c r="F36" s="3"/>
      <c r="G36" s="3"/>
      <c r="H36" s="3"/>
      <c r="I36" s="9"/>
    </row>
    <row r="37" spans="1:9" ht="12.75">
      <c r="A37" s="274" t="s">
        <v>96</v>
      </c>
      <c r="B37" s="275"/>
      <c r="C37" s="275"/>
      <c r="D37" s="102">
        <f>IF(D27=1,+D28*D30*D29,0)/D34</f>
        <v>0.84375</v>
      </c>
      <c r="E37" s="67"/>
      <c r="F37" s="67"/>
      <c r="G37" s="67"/>
      <c r="H37" s="67"/>
      <c r="I37" s="68"/>
    </row>
    <row r="38" spans="1:9" ht="12.75">
      <c r="A38" s="276" t="s">
        <v>97</v>
      </c>
      <c r="B38" s="277"/>
      <c r="C38" s="277"/>
      <c r="D38" s="101">
        <f>IF(D31=1,0.75*D32,0)</f>
        <v>3</v>
      </c>
      <c r="E38" s="3"/>
      <c r="F38" s="3"/>
      <c r="G38" s="3"/>
      <c r="H38" s="3"/>
      <c r="I38" s="9"/>
    </row>
    <row r="39" spans="1:9" ht="12.75">
      <c r="A39" s="276" t="s">
        <v>106</v>
      </c>
      <c r="B39" s="277"/>
      <c r="C39" s="277"/>
      <c r="D39" s="98">
        <f>+(D22/2000)*D33</f>
        <v>0.535</v>
      </c>
      <c r="E39" s="3"/>
      <c r="F39" s="3"/>
      <c r="G39" s="3"/>
      <c r="H39" s="3"/>
      <c r="I39" s="9"/>
    </row>
    <row r="40" spans="1:9" ht="12.75">
      <c r="A40" s="269" t="s">
        <v>107</v>
      </c>
      <c r="B40" s="270"/>
      <c r="C40" s="270"/>
      <c r="D40" s="103">
        <f>SUM(D37:D39)</f>
        <v>4.37875</v>
      </c>
      <c r="E40" s="2"/>
      <c r="F40" s="2"/>
      <c r="G40" s="2"/>
      <c r="H40" s="2"/>
      <c r="I40" s="11"/>
    </row>
    <row r="41" spans="1:9" ht="12.75">
      <c r="A41" s="104"/>
      <c r="B41" s="105"/>
      <c r="C41" s="105"/>
      <c r="D41" s="281" t="s">
        <v>124</v>
      </c>
      <c r="E41" s="281"/>
      <c r="F41" s="1"/>
      <c r="G41" s="38" t="s">
        <v>124</v>
      </c>
      <c r="H41" s="1"/>
      <c r="I41" s="9"/>
    </row>
    <row r="42" spans="1:9" ht="12.75">
      <c r="A42" s="104"/>
      <c r="B42" s="105"/>
      <c r="C42" s="105"/>
      <c r="D42" s="280" t="s">
        <v>123</v>
      </c>
      <c r="E42" s="280"/>
      <c r="F42" s="1"/>
      <c r="G42" s="98" t="s">
        <v>168</v>
      </c>
      <c r="H42" s="1"/>
      <c r="I42" s="9"/>
    </row>
    <row r="43" spans="1:11" ht="12.75">
      <c r="A43" s="116"/>
      <c r="B43" s="106"/>
      <c r="C43" s="106"/>
      <c r="D43" s="216">
        <v>1</v>
      </c>
      <c r="E43" s="216">
        <v>2</v>
      </c>
      <c r="F43" s="67"/>
      <c r="G43" s="158">
        <f>IF(G20&lt;G19,1*(G19/G20),G20/G19)</f>
        <v>1.1</v>
      </c>
      <c r="H43" s="67"/>
      <c r="I43" s="68"/>
      <c r="K43" t="s">
        <v>88</v>
      </c>
    </row>
    <row r="44" spans="1:9" ht="12.75">
      <c r="A44" s="276" t="s">
        <v>167</v>
      </c>
      <c r="B44" s="277"/>
      <c r="C44" s="277"/>
      <c r="D44" s="156">
        <f>$D$20/($D$19/30*D43)</f>
        <v>65.45454545454545</v>
      </c>
      <c r="E44" s="156">
        <f>$D$20/(($D$19*E43)/30)</f>
        <v>32.72727272727273</v>
      </c>
      <c r="F44" s="4" t="s">
        <v>88</v>
      </c>
      <c r="G44" s="156">
        <f>$G$20/(($G$19)/30)*G43</f>
        <v>30.000000000000004</v>
      </c>
      <c r="H44" s="3"/>
      <c r="I44" s="9"/>
    </row>
    <row r="45" spans="1:9" ht="12.75">
      <c r="A45" s="269" t="s">
        <v>98</v>
      </c>
      <c r="B45" s="270"/>
      <c r="C45" s="270"/>
      <c r="D45" s="157">
        <f>$D$20/(D19*D43)</f>
        <v>2.1818181818181817</v>
      </c>
      <c r="E45" s="157">
        <f>$D$20/($D$19*$E$43)</f>
        <v>1.0909090909090908</v>
      </c>
      <c r="F45" s="65"/>
      <c r="G45" s="157">
        <f>($G$20*G43)/($G$19)</f>
        <v>1.0000000000000002</v>
      </c>
      <c r="H45" s="2"/>
      <c r="I45" s="11"/>
    </row>
    <row r="46" spans="1:9" ht="12.75">
      <c r="A46" s="113"/>
      <c r="B46" s="110"/>
      <c r="C46" s="110"/>
      <c r="D46" s="1"/>
      <c r="E46" s="1"/>
      <c r="F46" s="4"/>
      <c r="G46" s="112"/>
      <c r="H46" s="112"/>
      <c r="I46" s="9"/>
    </row>
    <row r="47" spans="1:9" ht="12.75">
      <c r="A47" s="276" t="s">
        <v>170</v>
      </c>
      <c r="B47" s="277"/>
      <c r="C47" s="277"/>
      <c r="D47" s="282" t="s">
        <v>88</v>
      </c>
      <c r="E47" s="282"/>
      <c r="F47" s="3"/>
      <c r="G47" s="98" t="s">
        <v>88</v>
      </c>
      <c r="H47" s="98"/>
      <c r="I47" s="9"/>
    </row>
    <row r="48" spans="1:15" ht="12.75">
      <c r="A48" s="274" t="s">
        <v>118</v>
      </c>
      <c r="B48" s="275"/>
      <c r="C48" s="275"/>
      <c r="D48" s="107">
        <f>($D$24)/(IF($D$23&lt;$D$44,$D$23,$D$44)*D43)</f>
        <v>0.43312500000000004</v>
      </c>
      <c r="E48" s="107">
        <f>($D$24)/(IF($D$23&lt;$E$44,$D$23,$E$44)*E43)</f>
        <v>0.43312500000000004</v>
      </c>
      <c r="F48" s="108"/>
      <c r="G48" s="107">
        <f>$G$24/(IF($G$23&lt;$G$44,$G$23,$G$44)*1)</f>
        <v>0.6593749999999999</v>
      </c>
      <c r="H48" s="67"/>
      <c r="I48" s="68"/>
      <c r="O48" t="s">
        <v>88</v>
      </c>
    </row>
    <row r="49" spans="1:9" ht="12.75">
      <c r="A49" s="113" t="s">
        <v>122</v>
      </c>
      <c r="B49" s="110"/>
      <c r="C49" s="110"/>
      <c r="D49" s="111">
        <f>($D$24)</f>
        <v>28.35</v>
      </c>
      <c r="E49" s="111">
        <f>($D$24)</f>
        <v>28.35</v>
      </c>
      <c r="F49" s="111" t="s">
        <v>88</v>
      </c>
      <c r="G49" s="111">
        <f>($G$24)</f>
        <v>19.78125</v>
      </c>
      <c r="H49" s="3"/>
      <c r="I49" s="9"/>
    </row>
    <row r="50" spans="1:9" ht="13.5" thickBot="1">
      <c r="A50" s="278" t="s">
        <v>119</v>
      </c>
      <c r="B50" s="279"/>
      <c r="C50" s="279"/>
      <c r="D50" s="117">
        <f>($D$24)/(IF($D$23/30&lt;$D$45,$D$23/30,$D$45)*D43)</f>
        <v>12.993750000000002</v>
      </c>
      <c r="E50" s="117">
        <f>($D$24)/(IF($D$23/30&lt;$E$45,$D$23/30,$E$45))/E43</f>
        <v>12.993750000000002</v>
      </c>
      <c r="F50" s="118"/>
      <c r="G50" s="117">
        <f>$G$24/$G$43</f>
        <v>17.982954545454543</v>
      </c>
      <c r="H50" s="40"/>
      <c r="I50" s="119"/>
    </row>
    <row r="51" spans="1:9" ht="12.75">
      <c r="A51" s="104"/>
      <c r="B51" s="105"/>
      <c r="C51" s="105"/>
      <c r="D51" s="3"/>
      <c r="E51" s="3"/>
      <c r="F51" s="3"/>
      <c r="G51" s="3"/>
      <c r="H51" s="3"/>
      <c r="I51" s="9"/>
    </row>
    <row r="52" spans="1:9" ht="12.75">
      <c r="A52" s="276" t="s">
        <v>166</v>
      </c>
      <c r="B52" s="277"/>
      <c r="C52" s="277"/>
      <c r="D52" s="3"/>
      <c r="E52" s="3"/>
      <c r="F52" s="3"/>
      <c r="G52" s="3"/>
      <c r="H52" s="3"/>
      <c r="I52" s="9"/>
    </row>
    <row r="53" spans="1:9" ht="12.75">
      <c r="A53" s="274" t="s">
        <v>118</v>
      </c>
      <c r="B53" s="275"/>
      <c r="C53" s="275"/>
      <c r="D53" s="107">
        <f>($D$24-$D$40)/(IF($D$23&lt;$D$44,$D$23,$D$44)*D43)</f>
        <v>0.36622743055555557</v>
      </c>
      <c r="E53" s="107">
        <f>($D$24-$D$40)/(IF($D$23&lt;$E$44,$D$23,$E$44)*E43)</f>
        <v>0.36622743055555557</v>
      </c>
      <c r="F53" s="108"/>
      <c r="G53" s="107">
        <f>($G$24-D40)/(IF($G$23&lt;$G$44,$D$23,$G$44)*1)</f>
        <v>0.5134166666666666</v>
      </c>
      <c r="H53" s="67"/>
      <c r="I53" s="68"/>
    </row>
    <row r="54" spans="1:9" ht="12.75">
      <c r="A54" s="113" t="s">
        <v>122</v>
      </c>
      <c r="B54" s="110"/>
      <c r="C54" s="110"/>
      <c r="D54" s="111">
        <f>($D$24-$D$40)</f>
        <v>23.97125</v>
      </c>
      <c r="E54" s="111">
        <f>($D$24-$D$40)</f>
        <v>23.97125</v>
      </c>
      <c r="F54" s="111" t="s">
        <v>88</v>
      </c>
      <c r="G54" s="111">
        <f>($G$24-$D$40)</f>
        <v>15.4025</v>
      </c>
      <c r="H54" s="3"/>
      <c r="I54" s="9"/>
    </row>
    <row r="55" spans="1:9" ht="13.5" thickBot="1">
      <c r="A55" s="278" t="s">
        <v>119</v>
      </c>
      <c r="B55" s="279"/>
      <c r="C55" s="279"/>
      <c r="D55" s="117">
        <f>($D$24-$D$40)/(IF($D$23/30&lt;$D$45,$D$23/30,$D$45)*D43)</f>
        <v>10.986822916666668</v>
      </c>
      <c r="E55" s="117">
        <f>($D$24-$D$40)/(IF($D$23/30&lt;$E$45,$D$23/30,$E$45)*E43)</f>
        <v>10.986822916666668</v>
      </c>
      <c r="F55" s="118"/>
      <c r="G55" s="117">
        <f>($G$24-$D$40)/$G$43</f>
        <v>14.002272727272725</v>
      </c>
      <c r="H55" s="40"/>
      <c r="I55" s="119"/>
    </row>
    <row r="56" spans="1:9" ht="12.75">
      <c r="A56" s="1"/>
      <c r="B56" s="1"/>
      <c r="C56" s="1"/>
      <c r="D56" s="96"/>
      <c r="E56" s="96"/>
      <c r="F56" s="1"/>
      <c r="G56" s="1"/>
      <c r="H56" s="1"/>
      <c r="I56" s="1"/>
    </row>
  </sheetData>
  <sheetProtection/>
  <mergeCells count="31">
    <mergeCell ref="D47:E47"/>
    <mergeCell ref="A37:C37"/>
    <mergeCell ref="A47:C47"/>
    <mergeCell ref="A48:C48"/>
    <mergeCell ref="A21:C21"/>
    <mergeCell ref="A29:C29"/>
    <mergeCell ref="A31:C31"/>
    <mergeCell ref="A32:C32"/>
    <mergeCell ref="D42:E42"/>
    <mergeCell ref="D41:E41"/>
    <mergeCell ref="A38:C38"/>
    <mergeCell ref="A39:C39"/>
    <mergeCell ref="A22:C22"/>
    <mergeCell ref="A24:C24"/>
    <mergeCell ref="A26:C26"/>
    <mergeCell ref="A27:C27"/>
    <mergeCell ref="A28:C28"/>
    <mergeCell ref="A40:C40"/>
    <mergeCell ref="A55:C55"/>
    <mergeCell ref="A44:C44"/>
    <mergeCell ref="A45:C45"/>
    <mergeCell ref="A52:C52"/>
    <mergeCell ref="A53:C53"/>
    <mergeCell ref="A50:C50"/>
    <mergeCell ref="A34:C34"/>
    <mergeCell ref="A1:I1"/>
    <mergeCell ref="A15:C15"/>
    <mergeCell ref="A16:C16"/>
    <mergeCell ref="A17:C17"/>
    <mergeCell ref="A19:C19"/>
    <mergeCell ref="A20:C20"/>
  </mergeCells>
  <printOptions/>
  <pageMargins left="0.5" right="0.25" top="0.51" bottom="0.25"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M65"/>
  <sheetViews>
    <sheetView zoomScalePageLayoutView="0" workbookViewId="0" topLeftCell="A1">
      <selection activeCell="A7" sqref="A7:B9"/>
    </sheetView>
  </sheetViews>
  <sheetFormatPr defaultColWidth="9.140625" defaultRowHeight="12.75"/>
  <cols>
    <col min="5" max="5" width="46.421875" style="0" customWidth="1"/>
    <col min="6" max="6" width="27.7109375" style="0" customWidth="1"/>
    <col min="7" max="7" width="18.28125" style="0" customWidth="1"/>
    <col min="8" max="8" width="10.28125" style="0" customWidth="1"/>
    <col min="9" max="9" width="11.8515625" style="0" customWidth="1"/>
  </cols>
  <sheetData>
    <row r="1" spans="1:6" ht="27" thickBot="1">
      <c r="A1" s="283" t="s">
        <v>157</v>
      </c>
      <c r="B1" s="283"/>
      <c r="C1" s="283"/>
      <c r="D1" s="283"/>
      <c r="E1" s="283"/>
      <c r="F1" s="283"/>
    </row>
    <row r="2" spans="1:6" ht="12.75">
      <c r="A2" s="26" t="s">
        <v>28</v>
      </c>
      <c r="B2" s="27"/>
      <c r="C2" s="27"/>
      <c r="D2" s="27"/>
      <c r="E2" s="27"/>
      <c r="F2" s="28"/>
    </row>
    <row r="3" spans="1:6" ht="12.75">
      <c r="A3" s="29" t="s">
        <v>30</v>
      </c>
      <c r="B3" s="30"/>
      <c r="C3" s="30"/>
      <c r="D3" s="30"/>
      <c r="E3" s="30"/>
      <c r="F3" s="31"/>
    </row>
    <row r="4" spans="1:6" ht="12.75">
      <c r="A4" s="29" t="s">
        <v>31</v>
      </c>
      <c r="B4" s="30"/>
      <c r="C4" s="30"/>
      <c r="D4" s="30"/>
      <c r="E4" s="30"/>
      <c r="F4" s="31"/>
    </row>
    <row r="5" spans="1:6" ht="12.75">
      <c r="A5" s="29"/>
      <c r="B5" s="30"/>
      <c r="C5" s="30"/>
      <c r="D5" s="30"/>
      <c r="E5" s="30"/>
      <c r="F5" s="31"/>
    </row>
    <row r="6" spans="1:6" ht="12.75">
      <c r="A6" s="32" t="s">
        <v>220</v>
      </c>
      <c r="B6" s="33"/>
      <c r="C6" s="33"/>
      <c r="D6" s="33"/>
      <c r="E6" s="33"/>
      <c r="F6" s="34"/>
    </row>
    <row r="7" spans="1:6" ht="12.75">
      <c r="A7" s="32"/>
      <c r="B7" s="33"/>
      <c r="C7" s="33"/>
      <c r="D7" s="33"/>
      <c r="E7" s="33"/>
      <c r="F7" s="34"/>
    </row>
    <row r="8" spans="1:6" ht="12.75">
      <c r="A8" s="32"/>
      <c r="B8" s="33"/>
      <c r="C8" s="33"/>
      <c r="D8" s="33"/>
      <c r="E8" s="33"/>
      <c r="F8" s="34"/>
    </row>
    <row r="9" spans="1:6" ht="13.5" thickBot="1">
      <c r="A9" s="35"/>
      <c r="B9" s="36"/>
      <c r="C9" s="36"/>
      <c r="D9" s="36"/>
      <c r="E9" s="36"/>
      <c r="F9" s="37" t="s">
        <v>158</v>
      </c>
    </row>
    <row r="10" spans="1:6" ht="12.75">
      <c r="A10" s="29"/>
      <c r="B10" s="30"/>
      <c r="C10" s="30"/>
      <c r="D10" s="30"/>
      <c r="E10" s="30"/>
      <c r="F10" s="31"/>
    </row>
    <row r="11" spans="1:6" ht="13.5" thickBot="1">
      <c r="A11" s="8"/>
      <c r="B11" s="3"/>
      <c r="C11" s="3"/>
      <c r="D11" s="3"/>
      <c r="E11" s="3"/>
      <c r="F11" s="9"/>
    </row>
    <row r="12" spans="1:6" ht="12.75">
      <c r="A12" s="5" t="s">
        <v>0</v>
      </c>
      <c r="B12" s="6"/>
      <c r="C12" s="6"/>
      <c r="D12" s="6"/>
      <c r="E12" s="7"/>
      <c r="F12" s="13" t="s">
        <v>23</v>
      </c>
    </row>
    <row r="13" spans="1:6" ht="15">
      <c r="A13" s="8" t="s">
        <v>14</v>
      </c>
      <c r="B13" s="3"/>
      <c r="C13" s="3"/>
      <c r="D13" s="3"/>
      <c r="E13" s="9"/>
      <c r="F13" s="140">
        <f>((F17*2000)*F22*F18)/56</f>
        <v>13.928571428571429</v>
      </c>
    </row>
    <row r="14" spans="1:6" ht="15">
      <c r="A14" s="8" t="s">
        <v>73</v>
      </c>
      <c r="B14" s="3"/>
      <c r="C14" s="3"/>
      <c r="D14" s="3"/>
      <c r="E14" s="9"/>
      <c r="F14" s="55">
        <v>4.5</v>
      </c>
    </row>
    <row r="15" spans="1:6" ht="15">
      <c r="A15" s="8" t="s">
        <v>74</v>
      </c>
      <c r="B15" s="3"/>
      <c r="C15" s="3"/>
      <c r="D15" s="3"/>
      <c r="E15" s="9"/>
      <c r="F15" s="55">
        <v>0.25</v>
      </c>
    </row>
    <row r="16" spans="1:13" ht="15">
      <c r="A16" s="8" t="s">
        <v>75</v>
      </c>
      <c r="B16" s="3"/>
      <c r="C16" s="3"/>
      <c r="D16" s="3"/>
      <c r="E16" s="9"/>
      <c r="F16" s="55">
        <v>0.19</v>
      </c>
      <c r="J16" t="s">
        <v>86</v>
      </c>
      <c r="M16" t="s">
        <v>176</v>
      </c>
    </row>
    <row r="17" spans="1:6" ht="15">
      <c r="A17" s="8" t="s">
        <v>18</v>
      </c>
      <c r="B17" s="3"/>
      <c r="C17" s="3"/>
      <c r="D17" s="3"/>
      <c r="E17" s="9"/>
      <c r="F17" s="89">
        <v>13</v>
      </c>
    </row>
    <row r="18" spans="1:10" ht="15">
      <c r="A18" s="8" t="s">
        <v>175</v>
      </c>
      <c r="B18" s="3"/>
      <c r="C18" s="3"/>
      <c r="D18" s="3"/>
      <c r="E18" s="9"/>
      <c r="F18" s="141">
        <v>0.1</v>
      </c>
      <c r="J18" t="s">
        <v>87</v>
      </c>
    </row>
    <row r="19" spans="1:6" ht="15">
      <c r="A19" s="8" t="s">
        <v>138</v>
      </c>
      <c r="B19" s="3"/>
      <c r="C19" s="3"/>
      <c r="D19" s="3"/>
      <c r="E19" s="9"/>
      <c r="F19" s="55">
        <v>100</v>
      </c>
    </row>
    <row r="20" spans="1:10" ht="15">
      <c r="A20" s="8" t="s">
        <v>12</v>
      </c>
      <c r="B20" s="3"/>
      <c r="C20" s="3"/>
      <c r="D20" s="3"/>
      <c r="E20" s="9"/>
      <c r="F20" s="55">
        <v>5.43</v>
      </c>
      <c r="J20" t="s">
        <v>177</v>
      </c>
    </row>
    <row r="21" spans="1:10" ht="15">
      <c r="A21" s="8" t="s">
        <v>13</v>
      </c>
      <c r="B21" s="3"/>
      <c r="C21" s="3"/>
      <c r="D21" s="3"/>
      <c r="E21" s="9"/>
      <c r="F21" s="55">
        <v>7.73</v>
      </c>
      <c r="J21" t="s">
        <v>178</v>
      </c>
    </row>
    <row r="22" spans="1:6" ht="15">
      <c r="A22" s="8" t="s">
        <v>6</v>
      </c>
      <c r="B22" s="3"/>
      <c r="C22" s="3"/>
      <c r="D22" s="3"/>
      <c r="E22" s="9"/>
      <c r="F22" s="56">
        <v>0.3</v>
      </c>
    </row>
    <row r="23" spans="1:6" ht="15">
      <c r="A23" s="8" t="s">
        <v>22</v>
      </c>
      <c r="B23" s="3"/>
      <c r="C23" s="3"/>
      <c r="D23" s="3"/>
      <c r="E23" s="9"/>
      <c r="F23" s="56">
        <v>0.1</v>
      </c>
    </row>
    <row r="24" spans="1:6" ht="15">
      <c r="A24" s="8" t="s">
        <v>4</v>
      </c>
      <c r="B24" s="3"/>
      <c r="C24" s="3"/>
      <c r="D24" s="3"/>
      <c r="E24" s="9"/>
      <c r="F24" s="54">
        <v>1</v>
      </c>
    </row>
    <row r="25" spans="1:6" ht="12.75">
      <c r="A25" s="8"/>
      <c r="B25" s="3"/>
      <c r="C25" s="3"/>
      <c r="D25" s="3"/>
      <c r="E25" s="9"/>
      <c r="F25" s="9"/>
    </row>
    <row r="26" spans="1:6" ht="12.75">
      <c r="A26" s="10" t="s">
        <v>1</v>
      </c>
      <c r="B26" s="2"/>
      <c r="C26" s="2"/>
      <c r="D26" s="2"/>
      <c r="E26" s="11"/>
      <c r="F26" s="11"/>
    </row>
    <row r="27" spans="1:6" ht="12.75">
      <c r="A27" s="8" t="s">
        <v>76</v>
      </c>
      <c r="B27" s="3"/>
      <c r="C27" s="3"/>
      <c r="D27" s="3"/>
      <c r="E27" s="9"/>
      <c r="F27" s="82">
        <f>F13*F14*F24</f>
        <v>62.67857142857143</v>
      </c>
    </row>
    <row r="28" spans="1:6" ht="12.75">
      <c r="A28" s="8" t="s">
        <v>67</v>
      </c>
      <c r="B28" s="3"/>
      <c r="C28" s="3"/>
      <c r="D28" s="3"/>
      <c r="E28" s="9"/>
      <c r="F28" s="53">
        <f>F13*F15*F24</f>
        <v>3.482142857142857</v>
      </c>
    </row>
    <row r="29" spans="1:6" ht="12.75">
      <c r="A29" s="8" t="s">
        <v>68</v>
      </c>
      <c r="B29" s="3"/>
      <c r="C29" s="3"/>
      <c r="D29" s="3"/>
      <c r="E29" s="9"/>
      <c r="F29" s="53">
        <f>F13*F16*F24</f>
        <v>2.6464285714285714</v>
      </c>
    </row>
    <row r="30" spans="1:6" ht="12.75">
      <c r="A30" s="8" t="s">
        <v>27</v>
      </c>
      <c r="B30" s="3"/>
      <c r="C30" s="3"/>
      <c r="D30" s="3"/>
      <c r="E30" s="9"/>
      <c r="F30" s="53">
        <f>F27-F28-F29</f>
        <v>56.550000000000004</v>
      </c>
    </row>
    <row r="31" spans="1:6" ht="12.75">
      <c r="A31" s="8" t="s">
        <v>5</v>
      </c>
      <c r="B31" s="3"/>
      <c r="C31" s="3"/>
      <c r="D31" s="3"/>
      <c r="E31" s="9"/>
      <c r="F31" s="143">
        <f>+F17</f>
        <v>13</v>
      </c>
    </row>
    <row r="32" spans="1:10" ht="12.75">
      <c r="A32" s="8" t="s">
        <v>7</v>
      </c>
      <c r="B32" s="3"/>
      <c r="C32" s="3"/>
      <c r="D32" s="3"/>
      <c r="E32" s="9"/>
      <c r="F32" s="57">
        <f>(F31*F22)*F24</f>
        <v>3.9</v>
      </c>
      <c r="J32" t="s">
        <v>85</v>
      </c>
    </row>
    <row r="33" spans="1:6" ht="12.75">
      <c r="A33" s="8" t="s">
        <v>8</v>
      </c>
      <c r="B33" s="3"/>
      <c r="C33" s="3"/>
      <c r="D33" s="3"/>
      <c r="E33" s="9"/>
      <c r="F33" s="58">
        <f>((F32/0.9)*2000)</f>
        <v>8666.666666666666</v>
      </c>
    </row>
    <row r="34" spans="1:6" ht="12.75">
      <c r="A34" s="8" t="s">
        <v>84</v>
      </c>
      <c r="B34" s="3"/>
      <c r="C34" s="3"/>
      <c r="D34" s="3"/>
      <c r="E34" s="9"/>
      <c r="F34" s="58">
        <f>(F13*56)*F24</f>
        <v>780</v>
      </c>
    </row>
    <row r="35" spans="1:10" ht="12.75">
      <c r="A35" s="8" t="s">
        <v>10</v>
      </c>
      <c r="B35" s="3"/>
      <c r="C35" s="3"/>
      <c r="D35" s="3"/>
      <c r="E35" s="9"/>
      <c r="F35" s="58">
        <f>F33-F34</f>
        <v>7886.666666666666</v>
      </c>
      <c r="G35" s="154" t="s">
        <v>163</v>
      </c>
      <c r="H35" s="144" t="s">
        <v>159</v>
      </c>
      <c r="I35" s="144" t="s">
        <v>160</v>
      </c>
      <c r="J35" s="144" t="s">
        <v>161</v>
      </c>
    </row>
    <row r="36" spans="1:10" ht="12.75">
      <c r="A36" s="8" t="s">
        <v>11</v>
      </c>
      <c r="B36" s="3"/>
      <c r="C36" s="3"/>
      <c r="D36" s="3"/>
      <c r="E36" s="9"/>
      <c r="F36" s="82">
        <f>F35*(F19/2000)</f>
        <v>394.3333333333333</v>
      </c>
      <c r="G36" s="154" t="s">
        <v>162</v>
      </c>
      <c r="H36" s="152">
        <v>2</v>
      </c>
      <c r="I36" s="152">
        <v>60</v>
      </c>
      <c r="J36" s="153">
        <v>0.5</v>
      </c>
    </row>
    <row r="37" spans="1:7" ht="12.75">
      <c r="A37" s="78" t="s">
        <v>77</v>
      </c>
      <c r="B37" s="63"/>
      <c r="C37" s="63"/>
      <c r="D37" s="63"/>
      <c r="E37" s="64"/>
      <c r="F37" s="79">
        <f>(F30+F36)/F24</f>
        <v>450.8833333333333</v>
      </c>
      <c r="G37" s="155">
        <f>((F37*J36)/H36)/I36</f>
        <v>1.8786805555555555</v>
      </c>
    </row>
    <row r="38" spans="1:6" ht="12.75">
      <c r="A38" s="10" t="s">
        <v>78</v>
      </c>
      <c r="B38" s="65"/>
      <c r="C38" s="65"/>
      <c r="D38" s="65"/>
      <c r="E38" s="66"/>
      <c r="F38" s="80">
        <f>F37/F31</f>
        <v>34.68333333333333</v>
      </c>
    </row>
    <row r="39" spans="1:6" ht="12.75">
      <c r="A39" s="70" t="s">
        <v>19</v>
      </c>
      <c r="B39" s="71"/>
      <c r="C39" s="71"/>
      <c r="D39" s="71"/>
      <c r="E39" s="72"/>
      <c r="F39" s="73">
        <f>(F31*F20)</f>
        <v>70.59</v>
      </c>
    </row>
    <row r="40" spans="1:6" ht="12.75">
      <c r="A40" s="59" t="s">
        <v>20</v>
      </c>
      <c r="B40" s="60"/>
      <c r="C40" s="60"/>
      <c r="D40" s="60"/>
      <c r="E40" s="61"/>
      <c r="F40" s="62">
        <f>(F31*F21)</f>
        <v>100.49000000000001</v>
      </c>
    </row>
    <row r="41" spans="1:6" ht="12.75">
      <c r="A41" s="74" t="s">
        <v>21</v>
      </c>
      <c r="B41" s="75"/>
      <c r="C41" s="75"/>
      <c r="D41" s="75"/>
      <c r="E41" s="76"/>
      <c r="F41" s="77">
        <f>F38*F23</f>
        <v>3.4683333333333333</v>
      </c>
    </row>
    <row r="42" spans="1:6" ht="12.75">
      <c r="A42" s="81" t="s">
        <v>79</v>
      </c>
      <c r="B42" s="4"/>
      <c r="C42" s="4"/>
      <c r="D42" s="4"/>
      <c r="E42" s="69"/>
      <c r="F42" s="82">
        <f>F37+F39+F40</f>
        <v>621.9633333333334</v>
      </c>
    </row>
    <row r="43" spans="1:6" ht="13.5" thickBot="1">
      <c r="A43" s="12" t="s">
        <v>80</v>
      </c>
      <c r="B43" s="83"/>
      <c r="C43" s="83"/>
      <c r="D43" s="83"/>
      <c r="E43" s="84"/>
      <c r="F43" s="85">
        <f>F42/F31</f>
        <v>47.843333333333334</v>
      </c>
    </row>
    <row r="44" spans="1:6" ht="12.75">
      <c r="A44" s="4"/>
      <c r="B44" s="4"/>
      <c r="C44" s="4"/>
      <c r="D44" s="4"/>
      <c r="E44" s="4"/>
      <c r="F44" s="139"/>
    </row>
    <row r="45" spans="1:6" ht="13.5" thickBot="1">
      <c r="A45" s="1"/>
      <c r="B45" s="1"/>
      <c r="C45" s="1"/>
      <c r="D45" s="1"/>
      <c r="E45" s="1"/>
      <c r="F45" s="1"/>
    </row>
    <row r="46" spans="1:6" ht="15">
      <c r="A46" s="15" t="s">
        <v>24</v>
      </c>
      <c r="B46" s="16"/>
      <c r="C46" s="16"/>
      <c r="D46" s="16"/>
      <c r="E46" s="16"/>
      <c r="F46" s="17" t="s">
        <v>3</v>
      </c>
    </row>
    <row r="47" spans="1:6" ht="15">
      <c r="A47" s="88" t="s">
        <v>77</v>
      </c>
      <c r="B47" s="90"/>
      <c r="C47" s="90"/>
      <c r="D47" s="90"/>
      <c r="E47" s="86"/>
      <c r="F47" s="20">
        <f>+F37</f>
        <v>450.8833333333333</v>
      </c>
    </row>
    <row r="48" spans="1:6" ht="15">
      <c r="A48" s="91" t="s">
        <v>78</v>
      </c>
      <c r="B48" s="92"/>
      <c r="C48" s="92"/>
      <c r="D48" s="92"/>
      <c r="E48" s="93"/>
      <c r="F48" s="94">
        <f>+F38</f>
        <v>34.68333333333333</v>
      </c>
    </row>
    <row r="49" spans="1:6" ht="15">
      <c r="A49" s="18" t="s">
        <v>79</v>
      </c>
      <c r="B49" s="19"/>
      <c r="C49" s="19"/>
      <c r="D49" s="19"/>
      <c r="E49" s="87"/>
      <c r="F49" s="20">
        <f>F42</f>
        <v>621.9633333333334</v>
      </c>
    </row>
    <row r="50" spans="1:6" ht="15.75" thickBot="1">
      <c r="A50" s="91" t="s">
        <v>80</v>
      </c>
      <c r="B50" s="92"/>
      <c r="C50" s="92"/>
      <c r="D50" s="92"/>
      <c r="E50" s="93"/>
      <c r="F50" s="94">
        <f>F43</f>
        <v>47.843333333333334</v>
      </c>
    </row>
    <row r="51" spans="1:6" ht="12.75">
      <c r="A51" s="170" t="s">
        <v>25</v>
      </c>
      <c r="B51" s="171"/>
      <c r="C51" s="171"/>
      <c r="D51" s="171"/>
      <c r="E51" s="171"/>
      <c r="F51" s="172"/>
    </row>
    <row r="52" spans="1:6" ht="12.75">
      <c r="A52" s="173" t="s">
        <v>29</v>
      </c>
      <c r="B52" s="174"/>
      <c r="C52" s="174"/>
      <c r="D52" s="174"/>
      <c r="E52" s="174"/>
      <c r="F52" s="175"/>
    </row>
    <row r="53" spans="1:6" ht="12.75">
      <c r="A53" s="173" t="s">
        <v>26</v>
      </c>
      <c r="B53" s="174"/>
      <c r="C53" s="174"/>
      <c r="D53" s="174"/>
      <c r="E53" s="174"/>
      <c r="F53" s="175"/>
    </row>
    <row r="54" spans="1:6" ht="12.75">
      <c r="A54" s="173"/>
      <c r="B54" s="174"/>
      <c r="C54" s="174"/>
      <c r="D54" s="174"/>
      <c r="E54" s="174"/>
      <c r="F54" s="175"/>
    </row>
    <row r="55" spans="1:6" ht="12.75">
      <c r="A55" s="173" t="s">
        <v>81</v>
      </c>
      <c r="B55" s="174"/>
      <c r="C55" s="174"/>
      <c r="D55" s="174"/>
      <c r="E55" s="174"/>
      <c r="F55" s="175"/>
    </row>
    <row r="56" spans="1:6" ht="12.75">
      <c r="A56" s="173" t="s">
        <v>174</v>
      </c>
      <c r="B56" s="174"/>
      <c r="C56" s="174"/>
      <c r="D56" s="174"/>
      <c r="E56" s="174"/>
      <c r="F56" s="175"/>
    </row>
    <row r="57" spans="1:6" ht="12.75">
      <c r="A57" s="173"/>
      <c r="B57" s="174"/>
      <c r="C57" s="174"/>
      <c r="D57" s="174"/>
      <c r="E57" s="174"/>
      <c r="F57" s="175"/>
    </row>
    <row r="58" spans="1:6" ht="12.75">
      <c r="A58" s="173" t="s">
        <v>149</v>
      </c>
      <c r="B58" s="174"/>
      <c r="C58" s="174"/>
      <c r="D58" s="174"/>
      <c r="E58" s="174"/>
      <c r="F58" s="175"/>
    </row>
    <row r="59" spans="1:6" ht="12.75">
      <c r="A59" s="173"/>
      <c r="B59" s="176"/>
      <c r="C59" s="176"/>
      <c r="D59" s="176"/>
      <c r="E59" s="176"/>
      <c r="F59" s="177"/>
    </row>
    <row r="60" spans="1:6" ht="12.75">
      <c r="A60" s="173" t="s">
        <v>82</v>
      </c>
      <c r="B60" s="176"/>
      <c r="C60" s="176"/>
      <c r="D60" s="176"/>
      <c r="E60" s="176"/>
      <c r="F60" s="177"/>
    </row>
    <row r="61" spans="1:6" ht="12.75">
      <c r="A61" s="173" t="s">
        <v>146</v>
      </c>
      <c r="B61" s="176"/>
      <c r="C61" s="176"/>
      <c r="D61" s="176"/>
      <c r="E61" s="176"/>
      <c r="F61" s="177"/>
    </row>
    <row r="62" spans="1:6" ht="12.75">
      <c r="A62" s="173"/>
      <c r="B62" s="176"/>
      <c r="C62" s="176"/>
      <c r="D62" s="176"/>
      <c r="E62" s="176"/>
      <c r="F62" s="177"/>
    </row>
    <row r="63" spans="1:6" ht="12.75">
      <c r="A63" s="173" t="s">
        <v>83</v>
      </c>
      <c r="B63" s="176"/>
      <c r="C63" s="176"/>
      <c r="D63" s="176"/>
      <c r="E63" s="176"/>
      <c r="F63" s="177"/>
    </row>
    <row r="64" spans="1:6" ht="12.75">
      <c r="A64" s="173" t="s">
        <v>147</v>
      </c>
      <c r="B64" s="176"/>
      <c r="C64" s="176"/>
      <c r="D64" s="176"/>
      <c r="E64" s="176"/>
      <c r="F64" s="177"/>
    </row>
    <row r="65" spans="1:6" ht="13.5" thickBot="1">
      <c r="A65" s="178"/>
      <c r="B65" s="179"/>
      <c r="C65" s="179"/>
      <c r="D65" s="179"/>
      <c r="E65" s="179"/>
      <c r="F65" s="180"/>
    </row>
  </sheetData>
  <sheetProtection/>
  <mergeCells count="1">
    <mergeCell ref="A1:F1"/>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F48"/>
  <sheetViews>
    <sheetView zoomScalePageLayoutView="0" workbookViewId="0" topLeftCell="A1">
      <selection activeCell="A5" sqref="A5:A7"/>
    </sheetView>
  </sheetViews>
  <sheetFormatPr defaultColWidth="9.140625" defaultRowHeight="12.75"/>
  <cols>
    <col min="4" max="4" width="9.140625" style="0" customWidth="1"/>
    <col min="5" max="5" width="73.57421875" style="0" customWidth="1"/>
    <col min="6" max="6" width="22.8515625" style="0" customWidth="1"/>
    <col min="14" max="14" width="40.28125" style="0" customWidth="1"/>
    <col min="15" max="15" width="14.57421875" style="0" customWidth="1"/>
  </cols>
  <sheetData>
    <row r="1" spans="1:6" ht="27" thickBot="1">
      <c r="A1" s="283" t="s">
        <v>190</v>
      </c>
      <c r="B1" s="283"/>
      <c r="C1" s="283"/>
      <c r="D1" s="283"/>
      <c r="E1" s="283"/>
      <c r="F1" s="283"/>
    </row>
    <row r="2" spans="1:6" ht="12.75">
      <c r="A2" s="26" t="s">
        <v>198</v>
      </c>
      <c r="B2" s="27"/>
      <c r="C2" s="27"/>
      <c r="D2" s="27"/>
      <c r="E2" s="27"/>
      <c r="F2" s="28"/>
    </row>
    <row r="3" spans="1:6" ht="12.75">
      <c r="A3" s="29"/>
      <c r="B3" s="30"/>
      <c r="C3" s="30"/>
      <c r="D3" s="30"/>
      <c r="E3" s="30"/>
      <c r="F3" s="31"/>
    </row>
    <row r="4" spans="1:6" ht="12.75">
      <c r="A4" s="203" t="s">
        <v>220</v>
      </c>
      <c r="B4" s="204"/>
      <c r="C4" s="33"/>
      <c r="D4" s="33"/>
      <c r="E4" s="33"/>
      <c r="F4" s="34"/>
    </row>
    <row r="5" spans="1:6" ht="12.75">
      <c r="A5" s="203"/>
      <c r="B5" s="204"/>
      <c r="C5" s="33"/>
      <c r="D5" s="33"/>
      <c r="E5" s="33"/>
      <c r="F5" s="34"/>
    </row>
    <row r="6" spans="1:6" ht="12.75">
      <c r="A6" s="203"/>
      <c r="B6" s="204"/>
      <c r="C6" s="33"/>
      <c r="D6" s="33"/>
      <c r="E6" s="33"/>
      <c r="F6" s="34"/>
    </row>
    <row r="7" spans="1:6" ht="13.5" thickBot="1">
      <c r="A7" s="205"/>
      <c r="B7" s="206"/>
      <c r="C7" s="36"/>
      <c r="D7" s="36"/>
      <c r="E7" s="36"/>
      <c r="F7" s="37"/>
    </row>
    <row r="8" spans="1:6" ht="12.75">
      <c r="A8" s="14"/>
      <c r="B8" s="14"/>
      <c r="C8" s="14"/>
      <c r="D8" s="14"/>
      <c r="E8" s="14"/>
      <c r="F8" s="14"/>
    </row>
    <row r="9" spans="1:6" ht="13.5" thickBot="1">
      <c r="A9" s="1"/>
      <c r="B9" s="1"/>
      <c r="C9" s="1"/>
      <c r="D9" s="1"/>
      <c r="E9" s="1"/>
      <c r="F9" s="1"/>
    </row>
    <row r="10" spans="1:6" ht="12.75">
      <c r="A10" s="5" t="s">
        <v>0</v>
      </c>
      <c r="B10" s="6"/>
      <c r="C10" s="6"/>
      <c r="D10" s="6"/>
      <c r="E10" s="7"/>
      <c r="F10" s="13" t="s">
        <v>23</v>
      </c>
    </row>
    <row r="11" spans="1:6" ht="15">
      <c r="A11" s="8" t="s">
        <v>202</v>
      </c>
      <c r="B11" s="3"/>
      <c r="C11" s="3"/>
      <c r="D11" s="3"/>
      <c r="E11" s="9"/>
      <c r="F11" s="55">
        <v>100</v>
      </c>
    </row>
    <row r="12" spans="1:6" ht="15">
      <c r="A12" s="165" t="s">
        <v>188</v>
      </c>
      <c r="B12" s="3"/>
      <c r="C12" s="3"/>
      <c r="D12" s="3"/>
      <c r="E12" s="9"/>
      <c r="F12" s="55">
        <v>34</v>
      </c>
    </row>
    <row r="13" spans="1:6" ht="15">
      <c r="A13" s="165" t="s">
        <v>189</v>
      </c>
      <c r="B13" s="3"/>
      <c r="C13" s="3"/>
      <c r="D13" s="3"/>
      <c r="E13" s="9"/>
      <c r="F13" s="55">
        <f>F11-F12</f>
        <v>66</v>
      </c>
    </row>
    <row r="14" spans="1:6" ht="15">
      <c r="A14" s="8" t="s">
        <v>180</v>
      </c>
      <c r="B14" s="3"/>
      <c r="C14" s="3"/>
      <c r="D14" s="3"/>
      <c r="E14" s="9"/>
      <c r="F14" s="162">
        <v>0.13</v>
      </c>
    </row>
    <row r="15" spans="1:6" ht="15">
      <c r="A15" s="8" t="s">
        <v>12</v>
      </c>
      <c r="B15" s="3"/>
      <c r="C15" s="3"/>
      <c r="D15" s="3"/>
      <c r="E15" s="9"/>
      <c r="F15" s="55">
        <v>5.45</v>
      </c>
    </row>
    <row r="16" spans="1:6" ht="15">
      <c r="A16" s="8" t="s">
        <v>13</v>
      </c>
      <c r="B16" s="3"/>
      <c r="C16" s="3"/>
      <c r="D16" s="3"/>
      <c r="E16" s="9"/>
      <c r="F16" s="55">
        <v>2.73</v>
      </c>
    </row>
    <row r="17" spans="1:6" ht="15">
      <c r="A17" s="8" t="s">
        <v>6</v>
      </c>
      <c r="B17" s="3"/>
      <c r="C17" s="3"/>
      <c r="D17" s="3"/>
      <c r="E17" s="9"/>
      <c r="F17" s="56">
        <v>0.35</v>
      </c>
    </row>
    <row r="18" spans="1:6" ht="15">
      <c r="A18" s="8" t="s">
        <v>22</v>
      </c>
      <c r="B18" s="3"/>
      <c r="C18" s="3"/>
      <c r="D18" s="3"/>
      <c r="E18" s="9"/>
      <c r="F18" s="56">
        <v>0.1</v>
      </c>
    </row>
    <row r="19" spans="1:6" ht="15">
      <c r="A19" s="8"/>
      <c r="B19" s="3"/>
      <c r="C19" s="3"/>
      <c r="D19" s="3"/>
      <c r="E19" s="9"/>
      <c r="F19" s="54"/>
    </row>
    <row r="20" spans="1:6" ht="12.75">
      <c r="A20" s="47" t="s">
        <v>1</v>
      </c>
      <c r="B20" s="163"/>
      <c r="C20" s="163"/>
      <c r="D20" s="163"/>
      <c r="E20" s="164"/>
      <c r="F20" s="164"/>
    </row>
    <row r="21" spans="1:6" ht="15">
      <c r="A21" s="8" t="s">
        <v>179</v>
      </c>
      <c r="B21" s="3"/>
      <c r="C21" s="3"/>
      <c r="D21" s="3"/>
      <c r="E21" s="9"/>
      <c r="F21" s="197">
        <v>1</v>
      </c>
    </row>
    <row r="22" spans="1:6" ht="12.75">
      <c r="A22" s="8" t="s">
        <v>199</v>
      </c>
      <c r="B22" s="3"/>
      <c r="C22" s="3"/>
      <c r="D22" s="3"/>
      <c r="E22" s="9"/>
      <c r="F22" s="198">
        <f>2000*(1-F14)</f>
        <v>1740</v>
      </c>
    </row>
    <row r="23" spans="1:6" ht="12.75">
      <c r="A23" s="8" t="s">
        <v>181</v>
      </c>
      <c r="B23" s="3"/>
      <c r="C23" s="3"/>
      <c r="D23" s="3"/>
      <c r="E23" s="9"/>
      <c r="F23" s="198">
        <f>2000*F17</f>
        <v>700</v>
      </c>
    </row>
    <row r="24" spans="1:6" ht="13.5" thickBot="1">
      <c r="A24" s="8" t="s">
        <v>182</v>
      </c>
      <c r="B24" s="3"/>
      <c r="C24" s="3"/>
      <c r="D24" s="3"/>
      <c r="E24" s="9"/>
      <c r="F24" s="196">
        <f>(F13/F22)*100</f>
        <v>3.793103448275862</v>
      </c>
    </row>
    <row r="25" spans="1:6" ht="13.5" thickBot="1">
      <c r="A25" s="188" t="s">
        <v>187</v>
      </c>
      <c r="B25" s="189"/>
      <c r="C25" s="189"/>
      <c r="D25" s="189"/>
      <c r="E25" s="190"/>
      <c r="F25" s="191">
        <f>(F23/100)*F24</f>
        <v>26.551724137931036</v>
      </c>
    </row>
    <row r="26" spans="1:6" ht="12.75">
      <c r="A26" s="59" t="s">
        <v>184</v>
      </c>
      <c r="B26" s="60"/>
      <c r="C26" s="60"/>
      <c r="D26" s="60"/>
      <c r="E26" s="61"/>
      <c r="F26" s="62">
        <f>(F15)</f>
        <v>5.45</v>
      </c>
    </row>
    <row r="27" spans="1:6" ht="12.75">
      <c r="A27" s="59" t="s">
        <v>185</v>
      </c>
      <c r="B27" s="60"/>
      <c r="C27" s="60"/>
      <c r="D27" s="60"/>
      <c r="E27" s="61"/>
      <c r="F27" s="62">
        <f>F16</f>
        <v>2.73</v>
      </c>
    </row>
    <row r="28" spans="1:6" ht="12.75">
      <c r="A28" s="59" t="s">
        <v>183</v>
      </c>
      <c r="B28" s="60"/>
      <c r="C28" s="60"/>
      <c r="D28" s="60"/>
      <c r="E28" s="61"/>
      <c r="F28" s="62">
        <f>F18*F25</f>
        <v>2.6551724137931036</v>
      </c>
    </row>
    <row r="29" spans="1:6" ht="13.5" thickBot="1">
      <c r="A29" s="192" t="s">
        <v>186</v>
      </c>
      <c r="B29" s="193"/>
      <c r="C29" s="193"/>
      <c r="D29" s="193"/>
      <c r="E29" s="194"/>
      <c r="F29" s="195">
        <f>F25-F26-F27-F28</f>
        <v>15.716551724137933</v>
      </c>
    </row>
    <row r="30" spans="1:6" ht="12.75">
      <c r="A30" s="4"/>
      <c r="B30" s="3"/>
      <c r="C30" s="3"/>
      <c r="D30" s="3"/>
      <c r="E30" s="3"/>
      <c r="F30" s="139"/>
    </row>
    <row r="31" spans="1:6" ht="12.75">
      <c r="A31" s="4"/>
      <c r="B31" s="3"/>
      <c r="C31" s="3"/>
      <c r="D31" s="3"/>
      <c r="E31" s="3"/>
      <c r="F31" s="139"/>
    </row>
    <row r="32" spans="1:6" ht="13.5" thickBot="1">
      <c r="A32" s="1"/>
      <c r="B32" s="1"/>
      <c r="C32" s="1"/>
      <c r="D32" s="1"/>
      <c r="E32" s="1"/>
      <c r="F32" s="1"/>
    </row>
    <row r="33" spans="1:6" ht="16.5" thickBot="1">
      <c r="A33" s="42" t="s">
        <v>24</v>
      </c>
      <c r="B33" s="183"/>
      <c r="C33" s="183"/>
      <c r="D33" s="183"/>
      <c r="E33" s="183"/>
      <c r="F33" s="184" t="s">
        <v>3</v>
      </c>
    </row>
    <row r="34" spans="1:6" ht="15.75">
      <c r="A34" s="18" t="s">
        <v>200</v>
      </c>
      <c r="B34" s="19"/>
      <c r="C34" s="19"/>
      <c r="D34" s="19"/>
      <c r="E34" s="19"/>
      <c r="F34" s="185">
        <f>F25</f>
        <v>26.551724137931036</v>
      </c>
    </row>
    <row r="35" spans="1:6" ht="16.5" thickBot="1">
      <c r="A35" s="22" t="s">
        <v>201</v>
      </c>
      <c r="B35" s="23"/>
      <c r="C35" s="23"/>
      <c r="D35" s="23"/>
      <c r="E35" s="23"/>
      <c r="F35" s="187">
        <f>F29</f>
        <v>15.716551724137933</v>
      </c>
    </row>
    <row r="36" spans="1:6" ht="15.75">
      <c r="A36" s="18" t="s">
        <v>191</v>
      </c>
      <c r="B36" s="19"/>
      <c r="C36" s="19"/>
      <c r="D36" s="19"/>
      <c r="E36" s="19"/>
      <c r="F36" s="185">
        <f>F21*F25</f>
        <v>26.551724137931036</v>
      </c>
    </row>
    <row r="37" spans="1:6" ht="16.5" thickBot="1">
      <c r="A37" s="182" t="s">
        <v>192</v>
      </c>
      <c r="B37" s="186"/>
      <c r="C37" s="186"/>
      <c r="D37" s="186"/>
      <c r="E37" s="186"/>
      <c r="F37" s="187">
        <f>F29*F21</f>
        <v>15.716551724137933</v>
      </c>
    </row>
    <row r="38" spans="1:6" ht="12.75">
      <c r="A38" s="166"/>
      <c r="B38" s="166"/>
      <c r="C38" s="166"/>
      <c r="D38" s="166"/>
      <c r="E38" s="166"/>
      <c r="F38" s="167"/>
    </row>
    <row r="39" spans="1:6" ht="15">
      <c r="A39" s="168"/>
      <c r="B39" s="168"/>
      <c r="C39" s="168"/>
      <c r="D39" s="168"/>
      <c r="E39" s="168"/>
      <c r="F39" s="169"/>
    </row>
    <row r="40" spans="1:6" ht="13.5" thickBot="1">
      <c r="A40" s="1"/>
      <c r="B40" s="1"/>
      <c r="C40" s="1"/>
      <c r="D40" s="1"/>
      <c r="E40" s="1"/>
      <c r="F40" s="1"/>
    </row>
    <row r="41" spans="1:6" ht="12.75">
      <c r="A41" s="170" t="s">
        <v>25</v>
      </c>
      <c r="B41" s="171"/>
      <c r="C41" s="171"/>
      <c r="D41" s="171"/>
      <c r="E41" s="171"/>
      <c r="F41" s="172"/>
    </row>
    <row r="42" spans="1:6" ht="12.75">
      <c r="A42" s="173" t="s">
        <v>193</v>
      </c>
      <c r="B42" s="174"/>
      <c r="C42" s="174"/>
      <c r="D42" s="174"/>
      <c r="E42" s="174"/>
      <c r="F42" s="175"/>
    </row>
    <row r="43" spans="1:6" ht="12.75">
      <c r="A43" s="173"/>
      <c r="B43" s="176"/>
      <c r="C43" s="176"/>
      <c r="D43" s="176"/>
      <c r="E43" s="176"/>
      <c r="F43" s="177"/>
    </row>
    <row r="44" spans="1:6" ht="12.75">
      <c r="A44" s="173" t="s">
        <v>194</v>
      </c>
      <c r="B44" s="176"/>
      <c r="C44" s="176"/>
      <c r="D44" s="176"/>
      <c r="E44" s="176"/>
      <c r="F44" s="177"/>
    </row>
    <row r="45" spans="1:6" ht="12.75">
      <c r="A45" s="173" t="s">
        <v>195</v>
      </c>
      <c r="B45" s="176"/>
      <c r="C45" s="176"/>
      <c r="D45" s="176"/>
      <c r="E45" s="176"/>
      <c r="F45" s="177"/>
    </row>
    <row r="46" spans="1:6" ht="12.75">
      <c r="A46" s="173"/>
      <c r="B46" s="176"/>
      <c r="C46" s="176"/>
      <c r="D46" s="176"/>
      <c r="E46" s="176"/>
      <c r="F46" s="177"/>
    </row>
    <row r="47" spans="1:6" ht="15">
      <c r="A47" s="199" t="s">
        <v>197</v>
      </c>
      <c r="B47" s="200"/>
      <c r="C47" s="200"/>
      <c r="D47" s="200"/>
      <c r="E47" s="200"/>
      <c r="F47" s="201"/>
    </row>
    <row r="48" spans="1:6" ht="15" thickBot="1">
      <c r="A48" s="202" t="s">
        <v>196</v>
      </c>
      <c r="B48" s="179"/>
      <c r="C48" s="179"/>
      <c r="D48" s="179"/>
      <c r="E48" s="179"/>
      <c r="F48" s="180"/>
    </row>
  </sheetData>
  <sheetProtection/>
  <mergeCells count="1">
    <mergeCell ref="A1:F1"/>
  </mergeCells>
  <printOptions/>
  <pageMargins left="0.25" right="0.25" top="0.75" bottom="0.75" header="0.3" footer="0.3"/>
  <pageSetup horizontalDpi="600" verticalDpi="600" orientation="portrait" scale="7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K-State Research &amp; 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Valuing Corn Silage and Other Forages</dc:title>
  <dc:subject/>
  <dc:creator>Michael Vogt</dc:creator>
  <cp:keywords/>
  <dc:description/>
  <cp:lastModifiedBy>Shannon</cp:lastModifiedBy>
  <cp:lastPrinted>2013-09-04T16:13:41Z</cp:lastPrinted>
  <dcterms:created xsi:type="dcterms:W3CDTF">2002-08-08T14:19:20Z</dcterms:created>
  <dcterms:modified xsi:type="dcterms:W3CDTF">2018-07-12T18:50:13Z</dcterms:modified>
  <cp:category/>
  <cp:version/>
  <cp:contentType/>
  <cp:contentStatus/>
</cp:coreProperties>
</file>